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codeName="ThisWorkbook" autoCompressPictures="0"/>
  <mc:AlternateContent xmlns:mc="http://schemas.openxmlformats.org/markup-compatibility/2006">
    <mc:Choice Requires="x15">
      <x15ac:absPath xmlns:x15ac="http://schemas.microsoft.com/office/spreadsheetml/2010/11/ac" url="S:\Energy\_Projects\SEIN\Deliverables\SSS\"/>
    </mc:Choice>
  </mc:AlternateContent>
  <xr:revisionPtr revIDLastSave="0" documentId="8_{D07EAA42-2885-4CF7-940B-B7212B968A18}" xr6:coauthVersionLast="33" xr6:coauthVersionMax="33" xr10:uidLastSave="{00000000-0000-0000-0000-000000000000}"/>
  <bookViews>
    <workbookView xWindow="0" yWindow="0" windowWidth="21570" windowHeight="7980" tabRatio="862" activeTab="1" xr2:uid="{00000000-000D-0000-FFFF-FFFF00000000}"/>
  </bookViews>
  <sheets>
    <sheet name="Guide" sheetId="25" r:id="rId1"/>
    <sheet name="PV_Summary" sheetId="3" r:id="rId2"/>
    <sheet name="ICA_Summary" sheetId="34" r:id="rId3"/>
    <sheet name="Data" sheetId="2" r:id="rId4"/>
    <sheet name="Definitions" sheetId="8" r:id="rId5"/>
    <sheet name="Ratings" sheetId="1" r:id="rId6"/>
    <sheet name="Publication_Steps" sheetId="26" r:id="rId7"/>
  </sheets>
  <definedNames>
    <definedName name="_xlnm._FilterDatabase" localSheetId="3" hidden="1">Data!$B$2:$AA$885</definedName>
    <definedName name="_xlnm._FilterDatabase" localSheetId="1" hidden="1">PV_Summary!$A$252:$S$353</definedName>
    <definedName name="Address">OFFSET(Data!$B$2,Data_Row_Bgn,Address_Col-1,Num_Data_Row,1)</definedName>
    <definedName name="Address_Col">Definitions!$B$26</definedName>
    <definedName name="Area_ft2">OFFSET(Data!$B$2,Data_Row_Bgn,Area_ft2_Col-1,Num_Data_Row,1)</definedName>
    <definedName name="Area_ft2_Col">Definitions!$B$38</definedName>
    <definedName name="CES3Pct_Col">Definitions!$B$44</definedName>
    <definedName name="CES3Pctl">OFFSET(Data!$B$2,Data_Row_Bgn,CES3Pct_Col-1,Num_Data_Row,1)</definedName>
    <definedName name="City_ZIP">OFFSET(Data!$B$2,Data_Row_Bgn,City_ZIP_Col-1,Num_Data_Row,1)</definedName>
    <definedName name="City_ZIP_Col">Definitions!$B$27</definedName>
    <definedName name="Ckt1_Cap_Avail_Col">Definitions!$B$47</definedName>
    <definedName name="Ckt1_Cap_Avail_Vec">OFFSET(Data!$B$2,Data_Row_Bgn,Ckt1_Cap_Avail_Col-1,Num_Data_Row,1)</definedName>
    <definedName name="Ckt1_ft">OFFSET(Data!$B$2,Data_Row_Bgn,Ckt1_ft_Col-1,Num_Data_Row,1)</definedName>
    <definedName name="Ckt1_ft_Col">Definitions!$B$46</definedName>
    <definedName name="Ckt1_ID">OFFSET(Data!$B$2,Data_Row_Bgn,Ckt1_ID_Col-1,Num_Data_Row,1)</definedName>
    <definedName name="Ckt1_ID_Col">Definitions!$B$45</definedName>
    <definedName name="Ckt2_Cap_Avail_Col">Definitions!$B$50</definedName>
    <definedName name="Ckt2_Cap_Avail_Vec">OFFSET(Data!$B$2,Data_Row_Bgn,Ckt2_Cap_Avail_Col-1,Num_Data_Row,1)</definedName>
    <definedName name="Ckt2_ft">OFFSET(Data!$B$2,Data_Row_Bgn,Ckt2_ft_Col-1,Num_Data_Row,1)</definedName>
    <definedName name="Ckt2_ft_Col">Definitions!$B$49</definedName>
    <definedName name="Ckt2_ID">OFFSET(Data!$B$2,Data_Row_Bgn,Ckt2_ID_Col-1,Num_Data_Row,1)</definedName>
    <definedName name="Ckt2_ID_Col">Definitions!$B$48</definedName>
    <definedName name="Color_Tbl">#REF!</definedName>
    <definedName name="Comments">OFFSET(Data!$B$2,Data_Row_Bgn,Comments_Col-1,Num_Data_Row,1)</definedName>
    <definedName name="Comments_Col">Definitions!$B$43</definedName>
    <definedName name="Coordinates">OFFSET(Data!$B$2,Data_Row_Bgn,Coordinates_Col-1,Num_Data_Row,1)</definedName>
    <definedName name="Coordinates_Col">Definitions!$B$30</definedName>
    <definedName name="Data_Row_Bgn">Definitions!$B$4</definedName>
    <definedName name="DC_AC_Num">Definitions!$I$5</definedName>
    <definedName name="DC_AC_Text">Definitions!$I$4</definedName>
    <definedName name="Icon_URL_tbl">Ratings!$A$23:$D$54</definedName>
    <definedName name="Label_Clr">OFFSET(Data!$B$2,Data_Row_Bgn,Label_Clr_Col-1,Num_Data_Row,1)</definedName>
    <definedName name="Label_Clr_Col">Definitions!$B$36</definedName>
    <definedName name="Label_Scl">OFFSET(Data!$B$2,Data_Row_Bgn,Label_Scl_Col-1,Num_Data_Row,1)</definedName>
    <definedName name="Label_Scl_Aggr_Child">Definitions!$B$20</definedName>
    <definedName name="Label_Scl_Aggr_Parent">Definitions!$B$19</definedName>
    <definedName name="Label_Scl_Col">Definitions!$B$35</definedName>
    <definedName name="Label_Scl_Max">Definitions!$B$9</definedName>
    <definedName name="Label_Scl_Min">Definitions!$B$8</definedName>
    <definedName name="Label_Scl_Normal">Definitions!$B$21</definedName>
    <definedName name="Label_Text">OFFSET(Data!$B$2,Data_Row_Bgn,Label_Text_Col-1,Num_Data_Row,1)</definedName>
    <definedName name="Label_Text_Col">Definitions!$B$34</definedName>
    <definedName name="Lati">OFFSET(Data!$B$2,Data_Row_Bgn,Lati_Col-1,Num_Data_Row,1)</definedName>
    <definedName name="Lati_Col">Definitions!$B$29</definedName>
    <definedName name="Longi">OFFSET(Data!$B$2,Data_Row_Bgn,Longi_Col-1,Num_Data_Row,1)</definedName>
    <definedName name="Longi_Col">Definitions!$B$30</definedName>
    <definedName name="Map_Sym">OFFSET(Data!$B$2,Data_Row_Bgn,Map_Sym_Col-1,Num_Data_Row,1)</definedName>
    <definedName name="Map_Sym_Col">Definitions!$B$31</definedName>
    <definedName name="MapRectLatiMax">Definitions!$B$11</definedName>
    <definedName name="MapRectLatiMin">Definitions!$B$12</definedName>
    <definedName name="MapRectLongiMax">Definitions!$B$13</definedName>
    <definedName name="MapRectLongiMin">Definitions!$B$14</definedName>
    <definedName name="Num_Data_Row">Definitions!$B$5</definedName>
    <definedName name="_xlnm.Print_Titles" localSheetId="1">PV_Summary!$A:$C</definedName>
    <definedName name="PV_Rating">OFFSET(Data!$B$2,Data_Row_Bgn,PV_Rating_Col-1,Num_Data_Row,1)</definedName>
    <definedName name="PV_Rating_Col">Definitions!$B$40</definedName>
    <definedName name="PV_Type">OFFSET(Data!$B$2,Data_Row_Bgn,PV_Type_Col-1,Num_Data_Row,1)</definedName>
    <definedName name="PV_Type_Col">Definitions!$B$39</definedName>
    <definedName name="PV_Type_List">Ratings!$A$3:'Ratings'!$A$14</definedName>
    <definedName name="PV_W_Type_Rating_Tbl">Ratings!$B$3:$H$14</definedName>
    <definedName name="Rating_List">Table1[#Headers]</definedName>
    <definedName name="Site_Desc">OFFSET(Data!$B$2,Data_Row_Bgn,Site_Desc_Col-1,Num_Data_Row,1)</definedName>
    <definedName name="Site_Desc_Col">Definitions!$B$25</definedName>
    <definedName name="Site_Seq">OFFSET(Data!$B$2,Data_Row_Bgn,Site_Seq_Col-1,Num_Data_Row,1)</definedName>
    <definedName name="Site_Seq_Col">Definitions!$B$37</definedName>
    <definedName name="Site_Sum_W">OFFSET(Data!$B$2,Data_Row_Bgn,Site_Sum_W_Col-1,Num_Data_Row,1)</definedName>
    <definedName name="Site_Sum_W_Col">Definitions!$B$42</definedName>
    <definedName name="Site_W_AC">OFFSET(Data!$B$2,Data_Row_Bgn,Site_W_AC_Col-1,Num_Data_Row,1)</definedName>
    <definedName name="Site_W_AC_Col">Definitions!$B$42</definedName>
    <definedName name="Site_W_DC">OFFSET(Data!$B$2,Data_Row_Bgn,Site_W_DC_Col-1,Num_Data_Row,1)</definedName>
    <definedName name="Site_W_DC_Col">Definitions!#REF!</definedName>
    <definedName name="Struc_W">OFFSET(Data!$B$2,Data_Row_Bgn,Struc_W_Col-1,Num_Data_Row,1)</definedName>
    <definedName name="Struc_W_Col">Definitions!$B$41</definedName>
    <definedName name="Sum_Choice_Vec">Data!#REF!</definedName>
    <definedName name="Sym_Clr">OFFSET(Data!$B$2,Data_Row_Bgn,Sym_Clr_Col-1,Num_Data_Row,1)</definedName>
    <definedName name="Sym_Clr_Col">Definitions!$B$33</definedName>
    <definedName name="Sym_Scl">OFFSET(Data!$B$2,Data_Row_Bgn,Sym_Scl_Col-1,Num_Data_Row,1)</definedName>
    <definedName name="Sym_Scl_Aggr_Child">Definitions!$B$17</definedName>
    <definedName name="Sym_Scl_Aggr_Parent">Definitions!$B$16</definedName>
    <definedName name="Sym_Scl_Col">Definitions!$B$32</definedName>
    <definedName name="Sym_Scl_Max">Definitions!$B$7</definedName>
    <definedName name="Sym_Scl_Min">Definitions!$B$6</definedName>
    <definedName name="Sym_Scl_Normal">Definitions!$B$18</definedName>
    <definedName name="W_AC">OFFSET(Data!$B$2,Data_Row_Bgn,W_AC_Col-1,Num_Data_Row,1)</definedName>
    <definedName name="W_AC_Col">Definitions!$B$41</definedName>
    <definedName name="W_Choice">OFFSET(Data!$B$2,Data_Row_Bgn,W_Choice_Col-1,Num_Data_Row,1)</definedName>
    <definedName name="W_Choice_Col">Definitions!#REF!</definedName>
    <definedName name="W_DC">OFFSET(Data!$B$2,Data_Row_Bgn,W_DC_Col-1,Num_Data_Row,1)</definedName>
    <definedName name="W_DC_Col">Definitions!#REF!</definedName>
    <definedName name="ZIP_5">OFFSET(Data!$B$2,Data_Row_Bgn,ZIP_5_Col-1,Num_Data_Row,1)</definedName>
    <definedName name="ZIP_5_Col">Definitions!$B$28</definedName>
    <definedName name="ZIPCodeSDList">PV_Summary!$A$18:$A$121</definedName>
    <definedName name="ZIPTtlsTbl">PV_Summary!$A$18:$Y$121</definedName>
    <definedName name="Zone_ID_Col">Definitions!$B$51</definedName>
    <definedName name="Zone_ID_vec">OFFSET(Data!$B$2,Data_Row_Bgn,Zone_ID_Col-1,Num_Data_Row,1)</definedName>
  </definedNames>
  <calcPr calcId="179017"/>
  <pivotCaches>
    <pivotCache cacheId="0" r:id="rId8"/>
  </pivotCaches>
</workbook>
</file>

<file path=xl/calcChain.xml><?xml version="1.0" encoding="utf-8"?>
<calcChain xmlns="http://schemas.openxmlformats.org/spreadsheetml/2006/main">
  <c r="C169" i="34" l="1"/>
  <c r="E169" i="34" s="1"/>
  <c r="D169" i="34"/>
  <c r="C170" i="34"/>
  <c r="E170" i="34" s="1"/>
  <c r="D170" i="34"/>
  <c r="C171" i="34"/>
  <c r="E171" i="34" s="1"/>
  <c r="D171" i="34"/>
  <c r="F171" i="34"/>
  <c r="C172" i="34"/>
  <c r="E172" i="34" s="1"/>
  <c r="D172" i="34"/>
  <c r="F172" i="34"/>
  <c r="C173" i="34"/>
  <c r="E173" i="34" s="1"/>
  <c r="D173" i="34"/>
  <c r="C174" i="34"/>
  <c r="E174" i="34" s="1"/>
  <c r="D174" i="34"/>
  <c r="C175" i="34"/>
  <c r="E175" i="34" s="1"/>
  <c r="D175" i="34"/>
  <c r="F175" i="34"/>
  <c r="C176" i="34"/>
  <c r="E176" i="34" s="1"/>
  <c r="D176" i="34"/>
  <c r="F176" i="34"/>
  <c r="C177" i="34"/>
  <c r="E177" i="34" s="1"/>
  <c r="D177" i="34"/>
  <c r="C178" i="34"/>
  <c r="E178" i="34" s="1"/>
  <c r="D178" i="34"/>
  <c r="C153" i="34"/>
  <c r="E153" i="34" s="1"/>
  <c r="D153" i="34"/>
  <c r="C154" i="34"/>
  <c r="E154" i="34" s="1"/>
  <c r="D154" i="34"/>
  <c r="C155" i="34"/>
  <c r="E155" i="34" s="1"/>
  <c r="D155" i="34"/>
  <c r="C156" i="34"/>
  <c r="E156" i="34" s="1"/>
  <c r="D156" i="34"/>
  <c r="C157" i="34"/>
  <c r="E157" i="34" s="1"/>
  <c r="D157" i="34"/>
  <c r="C158" i="34"/>
  <c r="E158" i="34" s="1"/>
  <c r="D158" i="34"/>
  <c r="C159" i="34"/>
  <c r="E159" i="34" s="1"/>
  <c r="D159" i="34"/>
  <c r="C160" i="34"/>
  <c r="E160" i="34" s="1"/>
  <c r="D160" i="34"/>
  <c r="C161" i="34"/>
  <c r="E161" i="34" s="1"/>
  <c r="D161" i="34"/>
  <c r="C162" i="34"/>
  <c r="E162" i="34" s="1"/>
  <c r="D162" i="34"/>
  <c r="C163" i="34"/>
  <c r="E163" i="34" s="1"/>
  <c r="D163" i="34"/>
  <c r="C164" i="34"/>
  <c r="E164" i="34" s="1"/>
  <c r="D164" i="34"/>
  <c r="C165" i="34"/>
  <c r="E165" i="34" s="1"/>
  <c r="D165" i="34"/>
  <c r="C166" i="34"/>
  <c r="E166" i="34" s="1"/>
  <c r="D166" i="34"/>
  <c r="C167" i="34"/>
  <c r="E167" i="34" s="1"/>
  <c r="D167" i="34"/>
  <c r="C168" i="34"/>
  <c r="E168" i="34" s="1"/>
  <c r="D168" i="34"/>
  <c r="S600" i="2"/>
  <c r="S601" i="2"/>
  <c r="E600" i="2"/>
  <c r="F600" i="2" s="1"/>
  <c r="S575" i="2"/>
  <c r="S576" i="2"/>
  <c r="S577" i="2"/>
  <c r="S578" i="2"/>
  <c r="S579" i="2"/>
  <c r="O576" i="2"/>
  <c r="O577" i="2"/>
  <c r="L577" i="2" s="1"/>
  <c r="O578" i="2"/>
  <c r="L578" i="2" s="1"/>
  <c r="E577" i="2"/>
  <c r="F577" i="2" s="1"/>
  <c r="E578" i="2"/>
  <c r="F578" i="2" s="1"/>
  <c r="E576" i="2"/>
  <c r="F576" i="2" s="1"/>
  <c r="E575" i="2"/>
  <c r="F575" i="2" s="1"/>
  <c r="E599" i="2"/>
  <c r="F599" i="2" s="1"/>
  <c r="E598" i="2"/>
  <c r="F598" i="2" s="1"/>
  <c r="E597" i="2"/>
  <c r="F597" i="2" s="1"/>
  <c r="E596" i="2"/>
  <c r="F596" i="2" s="1"/>
  <c r="S595" i="2"/>
  <c r="S596" i="2"/>
  <c r="S597" i="2"/>
  <c r="S598" i="2"/>
  <c r="S599" i="2"/>
  <c r="O597" i="2"/>
  <c r="J597" i="2" s="1"/>
  <c r="O598" i="2"/>
  <c r="M598" i="2" s="1"/>
  <c r="O599" i="2"/>
  <c r="L599" i="2" s="1"/>
  <c r="E595" i="2"/>
  <c r="F595" i="2" s="1"/>
  <c r="S106" i="2"/>
  <c r="S105" i="2"/>
  <c r="E105" i="2"/>
  <c r="F105" i="2" s="1"/>
  <c r="S129" i="2"/>
  <c r="S130" i="2"/>
  <c r="S131" i="2"/>
  <c r="S132" i="2"/>
  <c r="O130" i="2"/>
  <c r="J130" i="2" s="1"/>
  <c r="O131" i="2"/>
  <c r="J131" i="2" s="1"/>
  <c r="E131" i="2"/>
  <c r="F131" i="2" s="1"/>
  <c r="E130" i="2"/>
  <c r="F130" i="2" s="1"/>
  <c r="E129" i="2"/>
  <c r="F129" i="2" s="1"/>
  <c r="S288" i="2"/>
  <c r="S289" i="2"/>
  <c r="S290" i="2"/>
  <c r="S291" i="2"/>
  <c r="S292" i="2"/>
  <c r="O289" i="2"/>
  <c r="J289" i="2" s="1"/>
  <c r="O290" i="2"/>
  <c r="M290" i="2" s="1"/>
  <c r="O291" i="2"/>
  <c r="L291" i="2" s="1"/>
  <c r="E291" i="2"/>
  <c r="F291" i="2" s="1"/>
  <c r="E290" i="2"/>
  <c r="F290" i="2" s="1"/>
  <c r="E289" i="2"/>
  <c r="F289" i="2" s="1"/>
  <c r="E288" i="2"/>
  <c r="F288" i="2" s="1"/>
  <c r="P9" i="2"/>
  <c r="S9" i="2" s="1"/>
  <c r="P8" i="2"/>
  <c r="S4" i="2"/>
  <c r="S5" i="2"/>
  <c r="S6" i="2"/>
  <c r="S7" i="2"/>
  <c r="S8" i="2"/>
  <c r="S10" i="2"/>
  <c r="O5" i="2"/>
  <c r="J5" i="2" s="1"/>
  <c r="O6" i="2"/>
  <c r="M6" i="2" s="1"/>
  <c r="O7" i="2"/>
  <c r="L7" i="2" s="1"/>
  <c r="O8" i="2"/>
  <c r="L8" i="2" s="1"/>
  <c r="O9" i="2"/>
  <c r="J9" i="2" s="1"/>
  <c r="E9" i="2"/>
  <c r="F9" i="2" s="1"/>
  <c r="E8" i="2"/>
  <c r="F8" i="2" s="1"/>
  <c r="E7" i="2"/>
  <c r="F7" i="2" s="1"/>
  <c r="E6" i="2"/>
  <c r="F6" i="2" s="1"/>
  <c r="E5" i="2"/>
  <c r="F5" i="2" s="1"/>
  <c r="E4" i="2"/>
  <c r="F4" i="2" s="1"/>
  <c r="S103" i="2"/>
  <c r="S104" i="2"/>
  <c r="E103" i="2"/>
  <c r="F103" i="2" s="1"/>
  <c r="S102" i="2"/>
  <c r="E102" i="2"/>
  <c r="F102" i="2" s="1"/>
  <c r="E424" i="2"/>
  <c r="F424" i="2" s="1"/>
  <c r="S420" i="2"/>
  <c r="S421" i="2"/>
  <c r="S422" i="2"/>
  <c r="S423" i="2"/>
  <c r="S425" i="2"/>
  <c r="O421" i="2"/>
  <c r="J421" i="2" s="1"/>
  <c r="O422" i="2"/>
  <c r="M422" i="2" s="1"/>
  <c r="O423" i="2"/>
  <c r="L423" i="2" s="1"/>
  <c r="E423" i="2"/>
  <c r="F423" i="2" s="1"/>
  <c r="E422" i="2"/>
  <c r="F422" i="2" s="1"/>
  <c r="E421" i="2"/>
  <c r="F421" i="2" s="1"/>
  <c r="E420" i="2"/>
  <c r="F420" i="2" s="1"/>
  <c r="S450" i="2"/>
  <c r="S451" i="2"/>
  <c r="S452" i="2"/>
  <c r="S453" i="2"/>
  <c r="S454" i="2"/>
  <c r="S455" i="2"/>
  <c r="O448" i="2"/>
  <c r="J448" i="2" s="1"/>
  <c r="O449" i="2"/>
  <c r="M449" i="2" s="1"/>
  <c r="O451" i="2"/>
  <c r="J451" i="2" s="1"/>
  <c r="O452" i="2"/>
  <c r="J452" i="2" s="1"/>
  <c r="O453" i="2"/>
  <c r="M453" i="2" s="1"/>
  <c r="O454" i="2"/>
  <c r="L454" i="2" s="1"/>
  <c r="E454" i="2"/>
  <c r="F454" i="2" s="1"/>
  <c r="E453" i="2"/>
  <c r="F453" i="2" s="1"/>
  <c r="E452" i="2"/>
  <c r="F452" i="2" s="1"/>
  <c r="E451" i="2"/>
  <c r="F451" i="2" s="1"/>
  <c r="E450" i="2"/>
  <c r="F450" i="2" s="1"/>
  <c r="S438" i="2"/>
  <c r="E438" i="2"/>
  <c r="F438" i="2" s="1"/>
  <c r="S447" i="2"/>
  <c r="S448" i="2"/>
  <c r="S449" i="2"/>
  <c r="E449" i="2"/>
  <c r="F449" i="2" s="1"/>
  <c r="E448" i="2"/>
  <c r="F448" i="2" s="1"/>
  <c r="E447" i="2"/>
  <c r="F447" i="2" s="1"/>
  <c r="S439" i="2"/>
  <c r="S440" i="2"/>
  <c r="S441" i="2"/>
  <c r="S442" i="2"/>
  <c r="S443" i="2"/>
  <c r="O440" i="2"/>
  <c r="J440" i="2" s="1"/>
  <c r="O441" i="2"/>
  <c r="M441" i="2" s="1"/>
  <c r="O442" i="2"/>
  <c r="L442" i="2" s="1"/>
  <c r="E442" i="2"/>
  <c r="F442" i="2" s="1"/>
  <c r="E441" i="2"/>
  <c r="F441" i="2" s="1"/>
  <c r="E440" i="2"/>
  <c r="F440" i="2" s="1"/>
  <c r="E439" i="2"/>
  <c r="F439" i="2" s="1"/>
  <c r="S426" i="2"/>
  <c r="S427" i="2"/>
  <c r="S428" i="2"/>
  <c r="S429" i="2"/>
  <c r="S430" i="2"/>
  <c r="O427" i="2"/>
  <c r="J427" i="2" s="1"/>
  <c r="O428" i="2"/>
  <c r="J428" i="2" s="1"/>
  <c r="O429" i="2"/>
  <c r="M429" i="2" s="1"/>
  <c r="E429" i="2"/>
  <c r="F429" i="2" s="1"/>
  <c r="E428" i="2"/>
  <c r="F428" i="2" s="1"/>
  <c r="E427" i="2"/>
  <c r="F427" i="2" s="1"/>
  <c r="E426" i="2"/>
  <c r="F426" i="2" s="1"/>
  <c r="S55" i="2"/>
  <c r="S56" i="2"/>
  <c r="E55" i="2"/>
  <c r="F55" i="2" s="1"/>
  <c r="T578" i="2" l="1"/>
  <c r="B170" i="34"/>
  <c r="B171" i="34" s="1"/>
  <c r="B172" i="34" s="1"/>
  <c r="B173" i="34" s="1"/>
  <c r="B174" i="34" s="1"/>
  <c r="B175" i="34" s="1"/>
  <c r="F177" i="34"/>
  <c r="F173" i="34"/>
  <c r="F169" i="34"/>
  <c r="F178" i="34"/>
  <c r="F174" i="34"/>
  <c r="F170" i="34"/>
  <c r="F168" i="34"/>
  <c r="F167" i="34"/>
  <c r="F166" i="34"/>
  <c r="F165" i="34"/>
  <c r="F164" i="34"/>
  <c r="F163" i="34"/>
  <c r="F162" i="34"/>
  <c r="F161" i="34"/>
  <c r="F160" i="34"/>
  <c r="F159" i="34"/>
  <c r="F158" i="34"/>
  <c r="F157" i="34"/>
  <c r="F156" i="34"/>
  <c r="F155" i="34"/>
  <c r="F154" i="34"/>
  <c r="F153" i="34"/>
  <c r="T577" i="2"/>
  <c r="M576" i="2"/>
  <c r="L576" i="2"/>
  <c r="T576" i="2"/>
  <c r="J578" i="2"/>
  <c r="M578" i="2"/>
  <c r="J577" i="2"/>
  <c r="M577" i="2"/>
  <c r="J576" i="2"/>
  <c r="L130" i="2"/>
  <c r="T598" i="2"/>
  <c r="T130" i="2"/>
  <c r="T599" i="2"/>
  <c r="L598" i="2"/>
  <c r="T597" i="2"/>
  <c r="M597" i="2"/>
  <c r="L597" i="2"/>
  <c r="J599" i="2"/>
  <c r="M599" i="2"/>
  <c r="J598" i="2"/>
  <c r="L131" i="2"/>
  <c r="M131" i="2"/>
  <c r="M130" i="2"/>
  <c r="L5" i="2"/>
  <c r="T131" i="2"/>
  <c r="T449" i="2"/>
  <c r="M289" i="2"/>
  <c r="T448" i="2"/>
  <c r="L290" i="2"/>
  <c r="L289" i="2"/>
  <c r="T289" i="2"/>
  <c r="T291" i="2"/>
  <c r="T290" i="2"/>
  <c r="J291" i="2"/>
  <c r="M291" i="2"/>
  <c r="J290" i="2"/>
  <c r="L6" i="2"/>
  <c r="M9" i="2"/>
  <c r="T6" i="2"/>
  <c r="L9" i="2"/>
  <c r="M5" i="2"/>
  <c r="T9" i="2"/>
  <c r="T7" i="2"/>
  <c r="T5" i="2"/>
  <c r="T8" i="2"/>
  <c r="J8" i="2"/>
  <c r="M8" i="2"/>
  <c r="J7" i="2"/>
  <c r="M7" i="2"/>
  <c r="J6" i="2"/>
  <c r="M421" i="2"/>
  <c r="L440" i="2"/>
  <c r="L449" i="2"/>
  <c r="M452" i="2"/>
  <c r="L422" i="2"/>
  <c r="L421" i="2"/>
  <c r="L452" i="2"/>
  <c r="T423" i="2"/>
  <c r="T421" i="2"/>
  <c r="T422" i="2"/>
  <c r="J423" i="2"/>
  <c r="M423" i="2"/>
  <c r="J422" i="2"/>
  <c r="M448" i="2"/>
  <c r="T453" i="2"/>
  <c r="T451" i="2"/>
  <c r="L448" i="2"/>
  <c r="L453" i="2"/>
  <c r="T454" i="2"/>
  <c r="T452" i="2"/>
  <c r="J454" i="2"/>
  <c r="M451" i="2"/>
  <c r="M454" i="2"/>
  <c r="J453" i="2"/>
  <c r="L451" i="2"/>
  <c r="J449" i="2"/>
  <c r="L441" i="2"/>
  <c r="T442" i="2"/>
  <c r="T440" i="2"/>
  <c r="M440" i="2"/>
  <c r="T441" i="2"/>
  <c r="J442" i="2"/>
  <c r="M442" i="2"/>
  <c r="J441" i="2"/>
  <c r="M428" i="2"/>
  <c r="M427" i="2"/>
  <c r="T428" i="2"/>
  <c r="L429" i="2"/>
  <c r="L428" i="2"/>
  <c r="L427" i="2"/>
  <c r="T429" i="2"/>
  <c r="T427" i="2"/>
  <c r="J429" i="2"/>
  <c r="S48" i="2" l="1"/>
  <c r="S49" i="2"/>
  <c r="S50" i="2"/>
  <c r="S51" i="2"/>
  <c r="S52" i="2"/>
  <c r="S53" i="2"/>
  <c r="S54" i="2"/>
  <c r="O49" i="2"/>
  <c r="J49" i="2" s="1"/>
  <c r="O50" i="2"/>
  <c r="J50" i="2" s="1"/>
  <c r="O51" i="2"/>
  <c r="L51" i="2" s="1"/>
  <c r="O52" i="2"/>
  <c r="J52" i="2" s="1"/>
  <c r="O53" i="2"/>
  <c r="J53" i="2" s="1"/>
  <c r="O54" i="2"/>
  <c r="J54" i="2" s="1"/>
  <c r="E53" i="2"/>
  <c r="F53" i="2" s="1"/>
  <c r="E54" i="2"/>
  <c r="F54" i="2" s="1"/>
  <c r="E52" i="2"/>
  <c r="F52" i="2" s="1"/>
  <c r="E51" i="2"/>
  <c r="F51" i="2" s="1"/>
  <c r="E50" i="2"/>
  <c r="F50" i="2" s="1"/>
  <c r="E49" i="2"/>
  <c r="F49" i="2" s="1"/>
  <c r="E48" i="2"/>
  <c r="F48" i="2" s="1"/>
  <c r="O676" i="2"/>
  <c r="J676" i="2" s="1"/>
  <c r="O678" i="2"/>
  <c r="J678" i="2" s="1"/>
  <c r="O679" i="2"/>
  <c r="J679" i="2" s="1"/>
  <c r="S690" i="2"/>
  <c r="S691" i="2"/>
  <c r="E690" i="2"/>
  <c r="F690" i="2" s="1"/>
  <c r="S692" i="2"/>
  <c r="S693" i="2"/>
  <c r="S694" i="2"/>
  <c r="O694" i="2"/>
  <c r="J694" i="2" s="1"/>
  <c r="E692" i="2"/>
  <c r="F692" i="2" s="1"/>
  <c r="S673" i="2"/>
  <c r="S674" i="2"/>
  <c r="S675" i="2"/>
  <c r="S676" i="2"/>
  <c r="S677" i="2"/>
  <c r="O675" i="2"/>
  <c r="J675" i="2" s="1"/>
  <c r="E676" i="2"/>
  <c r="F676" i="2" s="1"/>
  <c r="E675" i="2"/>
  <c r="F675" i="2" s="1"/>
  <c r="E674" i="2"/>
  <c r="F674" i="2" s="1"/>
  <c r="S678" i="2"/>
  <c r="S679" i="2"/>
  <c r="S680" i="2"/>
  <c r="S681" i="2"/>
  <c r="O680" i="2"/>
  <c r="J680" i="2" s="1"/>
  <c r="E677" i="2"/>
  <c r="F677" i="2" s="1"/>
  <c r="E678" i="2"/>
  <c r="F678" i="2" s="1"/>
  <c r="E679" i="2"/>
  <c r="F679" i="2" s="1"/>
  <c r="E680" i="2"/>
  <c r="F680" i="2" s="1"/>
  <c r="S689" i="2"/>
  <c r="E691" i="2"/>
  <c r="F691" i="2" s="1"/>
  <c r="S686" i="2"/>
  <c r="S688" i="2"/>
  <c r="E689" i="2"/>
  <c r="F689" i="2" s="1"/>
  <c r="E688" i="2"/>
  <c r="F688" i="2" s="1"/>
  <c r="O686" i="2"/>
  <c r="J686" i="2" s="1"/>
  <c r="O687" i="2"/>
  <c r="J687" i="2" s="1"/>
  <c r="S682" i="2"/>
  <c r="S683" i="2"/>
  <c r="E681" i="2"/>
  <c r="F681" i="2" s="1"/>
  <c r="S645" i="2"/>
  <c r="S646" i="2"/>
  <c r="S647" i="2"/>
  <c r="S648" i="2"/>
  <c r="S649" i="2"/>
  <c r="E647" i="2"/>
  <c r="F647" i="2" s="1"/>
  <c r="O646" i="2"/>
  <c r="J646" i="2" s="1"/>
  <c r="E648" i="2"/>
  <c r="F648" i="2" s="1"/>
  <c r="E646" i="2"/>
  <c r="F646" i="2" s="1"/>
  <c r="F541" i="2"/>
  <c r="F87" i="2"/>
  <c r="F86" i="2"/>
  <c r="F85" i="2"/>
  <c r="F84" i="2"/>
  <c r="F83" i="2"/>
  <c r="F82" i="2"/>
  <c r="F81" i="2"/>
  <c r="F80" i="2"/>
  <c r="F79" i="2"/>
  <c r="F78" i="2"/>
  <c r="F77" i="2"/>
  <c r="F76" i="2"/>
  <c r="F75" i="2"/>
  <c r="F74" i="2"/>
  <c r="F73" i="2"/>
  <c r="F72" i="2"/>
  <c r="F71" i="2"/>
  <c r="F70" i="2"/>
  <c r="F69" i="2"/>
  <c r="F68" i="2"/>
  <c r="F67" i="2"/>
  <c r="F66" i="2"/>
  <c r="E645" i="2"/>
  <c r="F645" i="2" s="1"/>
  <c r="S630" i="2"/>
  <c r="S631" i="2"/>
  <c r="S632" i="2"/>
  <c r="S633" i="2"/>
  <c r="O631" i="2"/>
  <c r="J631" i="2" s="1"/>
  <c r="O632" i="2"/>
  <c r="M632" i="2" s="1"/>
  <c r="E632" i="2"/>
  <c r="F632" i="2" s="1"/>
  <c r="E631" i="2"/>
  <c r="F631" i="2" s="1"/>
  <c r="E630" i="2"/>
  <c r="F630" i="2" s="1"/>
  <c r="S625" i="2"/>
  <c r="S626" i="2"/>
  <c r="S627" i="2"/>
  <c r="S628" i="2"/>
  <c r="S629" i="2"/>
  <c r="E629" i="2"/>
  <c r="F629" i="2" s="1"/>
  <c r="E628" i="2"/>
  <c r="F628" i="2" s="1"/>
  <c r="E627" i="2"/>
  <c r="F627" i="2" s="1"/>
  <c r="E626" i="2"/>
  <c r="F626" i="2" s="1"/>
  <c r="O624" i="2"/>
  <c r="J624" i="2" s="1"/>
  <c r="O626" i="2"/>
  <c r="L626" i="2" s="1"/>
  <c r="O627" i="2"/>
  <c r="L627" i="2" s="1"/>
  <c r="O628" i="2"/>
  <c r="J628" i="2" s="1"/>
  <c r="O629" i="2"/>
  <c r="M629" i="2" s="1"/>
  <c r="O634" i="2"/>
  <c r="L634" i="2" s="1"/>
  <c r="E625" i="2"/>
  <c r="F625" i="2" s="1"/>
  <c r="P687" i="2"/>
  <c r="S687" i="2" s="1"/>
  <c r="S685" i="2"/>
  <c r="O684" i="2"/>
  <c r="J684" i="2" s="1"/>
  <c r="E687" i="2"/>
  <c r="F687" i="2" s="1"/>
  <c r="E686" i="2"/>
  <c r="F686" i="2" s="1"/>
  <c r="E685" i="2"/>
  <c r="F685" i="2" s="1"/>
  <c r="S684" i="2"/>
  <c r="O683" i="2"/>
  <c r="E684" i="2"/>
  <c r="F684" i="2" s="1"/>
  <c r="E683" i="2"/>
  <c r="F683" i="2" s="1"/>
  <c r="E682" i="2"/>
  <c r="F682" i="2" s="1"/>
  <c r="M49" i="2" l="1"/>
  <c r="M54" i="2"/>
  <c r="M50" i="2"/>
  <c r="M53" i="2"/>
  <c r="T51" i="2"/>
  <c r="T50" i="2"/>
  <c r="T53" i="2"/>
  <c r="L54" i="2"/>
  <c r="L53" i="2"/>
  <c r="L50" i="2"/>
  <c r="L49" i="2"/>
  <c r="T49" i="2"/>
  <c r="T54" i="2"/>
  <c r="T52" i="2"/>
  <c r="M52" i="2"/>
  <c r="J51" i="2"/>
  <c r="L52" i="2"/>
  <c r="M51" i="2"/>
  <c r="M694" i="2"/>
  <c r="T678" i="2"/>
  <c r="T675" i="2"/>
  <c r="T680" i="2"/>
  <c r="T676" i="2"/>
  <c r="M676" i="2"/>
  <c r="M675" i="2"/>
  <c r="T679" i="2"/>
  <c r="M680" i="2"/>
  <c r="M679" i="2"/>
  <c r="M678" i="2"/>
  <c r="T686" i="2"/>
  <c r="T687" i="2"/>
  <c r="M646" i="2"/>
  <c r="M687" i="2"/>
  <c r="M686" i="2"/>
  <c r="T683" i="2"/>
  <c r="T632" i="2"/>
  <c r="L629" i="2"/>
  <c r="L632" i="2"/>
  <c r="L646" i="2"/>
  <c r="T646" i="2"/>
  <c r="M631" i="2"/>
  <c r="T631" i="2"/>
  <c r="L631" i="2"/>
  <c r="J632" i="2"/>
  <c r="T628" i="2"/>
  <c r="T626" i="2"/>
  <c r="M624" i="2"/>
  <c r="T629" i="2"/>
  <c r="T627" i="2"/>
  <c r="M628" i="2"/>
  <c r="L628" i="2"/>
  <c r="J634" i="2"/>
  <c r="J627" i="2"/>
  <c r="J626" i="2"/>
  <c r="L624" i="2"/>
  <c r="M634" i="2"/>
  <c r="M627" i="2"/>
  <c r="J629" i="2"/>
  <c r="M626" i="2"/>
  <c r="M683" i="2"/>
  <c r="M684" i="2"/>
  <c r="J683" i="2"/>
  <c r="T684" i="2"/>
  <c r="B44" i="8"/>
  <c r="B45" i="8"/>
  <c r="S697" i="2" l="1"/>
  <c r="S698" i="2"/>
  <c r="S702" i="2"/>
  <c r="O698" i="2"/>
  <c r="M698" i="2" s="1"/>
  <c r="O699" i="2"/>
  <c r="M699" i="2" s="1"/>
  <c r="O700" i="2"/>
  <c r="J700" i="2" s="1"/>
  <c r="O701" i="2"/>
  <c r="M701" i="2" s="1"/>
  <c r="E699" i="2"/>
  <c r="F699" i="2" s="1"/>
  <c r="E700" i="2"/>
  <c r="F700" i="2" s="1"/>
  <c r="E701" i="2"/>
  <c r="F701" i="2" s="1"/>
  <c r="E697" i="2"/>
  <c r="F697" i="2" s="1"/>
  <c r="M700" i="2" l="1"/>
  <c r="J698" i="2"/>
  <c r="J699" i="2"/>
  <c r="J701" i="2"/>
  <c r="E673" i="2"/>
  <c r="F673" i="2" s="1"/>
  <c r="S415" i="2"/>
  <c r="O416" i="2"/>
  <c r="J416" i="2" s="1"/>
  <c r="O417" i="2"/>
  <c r="J417" i="2" s="1"/>
  <c r="O418" i="2"/>
  <c r="J418" i="2" s="1"/>
  <c r="O419" i="2"/>
  <c r="J419" i="2" s="1"/>
  <c r="E419" i="2"/>
  <c r="F419" i="2" s="1"/>
  <c r="E418" i="2"/>
  <c r="F418" i="2" s="1"/>
  <c r="E417" i="2"/>
  <c r="F417" i="2" s="1"/>
  <c r="E416" i="2"/>
  <c r="F416" i="2" s="1"/>
  <c r="E415" i="2"/>
  <c r="F415" i="2" s="1"/>
  <c r="M419" i="2" l="1"/>
  <c r="M418" i="2"/>
  <c r="M417" i="2"/>
  <c r="M416" i="2"/>
  <c r="L419" i="2"/>
  <c r="L418" i="2"/>
  <c r="L417" i="2"/>
  <c r="L416" i="2"/>
  <c r="B132" i="3"/>
  <c r="B254" i="3" s="1"/>
  <c r="B133" i="3"/>
  <c r="B255" i="3" s="1"/>
  <c r="B134" i="3"/>
  <c r="B256" i="3" s="1"/>
  <c r="B135" i="3"/>
  <c r="B257" i="3" s="1"/>
  <c r="B136" i="3"/>
  <c r="B258" i="3" s="1"/>
  <c r="B137" i="3"/>
  <c r="B259" i="3" s="1"/>
  <c r="B138" i="3"/>
  <c r="B260" i="3" s="1"/>
  <c r="B139" i="3"/>
  <c r="B261" i="3" s="1"/>
  <c r="B140" i="3"/>
  <c r="B262" i="3" s="1"/>
  <c r="B141" i="3"/>
  <c r="B263" i="3" s="1"/>
  <c r="B142" i="3"/>
  <c r="B264" i="3" s="1"/>
  <c r="B143" i="3"/>
  <c r="B265" i="3" s="1"/>
  <c r="B144" i="3"/>
  <c r="B266" i="3" s="1"/>
  <c r="B145" i="3"/>
  <c r="B267" i="3" s="1"/>
  <c r="B146" i="3"/>
  <c r="B268" i="3" s="1"/>
  <c r="B147" i="3"/>
  <c r="B269" i="3" s="1"/>
  <c r="B148" i="3"/>
  <c r="B270" i="3" s="1"/>
  <c r="B149" i="3"/>
  <c r="B271" i="3" s="1"/>
  <c r="B150" i="3"/>
  <c r="B272" i="3" s="1"/>
  <c r="B151" i="3"/>
  <c r="B273" i="3" s="1"/>
  <c r="B152" i="3"/>
  <c r="B274" i="3" s="1"/>
  <c r="B153" i="3"/>
  <c r="B275" i="3" s="1"/>
  <c r="B154" i="3"/>
  <c r="B276" i="3" s="1"/>
  <c r="B155" i="3"/>
  <c r="B277" i="3" s="1"/>
  <c r="B156" i="3"/>
  <c r="B278" i="3" s="1"/>
  <c r="B157" i="3"/>
  <c r="B279" i="3" s="1"/>
  <c r="B158" i="3"/>
  <c r="B280" i="3" s="1"/>
  <c r="B159" i="3"/>
  <c r="B281" i="3" s="1"/>
  <c r="B160" i="3"/>
  <c r="B282" i="3" s="1"/>
  <c r="B161" i="3"/>
  <c r="B283" i="3" s="1"/>
  <c r="B162" i="3"/>
  <c r="B284" i="3" s="1"/>
  <c r="B163" i="3"/>
  <c r="B285" i="3" s="1"/>
  <c r="B164" i="3"/>
  <c r="B286" i="3" s="1"/>
  <c r="B165" i="3"/>
  <c r="B287" i="3" s="1"/>
  <c r="B166" i="3"/>
  <c r="B288" i="3" s="1"/>
  <c r="B167" i="3"/>
  <c r="B289" i="3" s="1"/>
  <c r="B168" i="3"/>
  <c r="B290" i="3" s="1"/>
  <c r="B169" i="3"/>
  <c r="B291" i="3" s="1"/>
  <c r="B170" i="3"/>
  <c r="B292" i="3" s="1"/>
  <c r="B171" i="3"/>
  <c r="B293" i="3" s="1"/>
  <c r="B172" i="3"/>
  <c r="B294" i="3" s="1"/>
  <c r="B173" i="3"/>
  <c r="B295" i="3" s="1"/>
  <c r="B174" i="3"/>
  <c r="B296" i="3" s="1"/>
  <c r="B175" i="3"/>
  <c r="B297" i="3" s="1"/>
  <c r="B176" i="3"/>
  <c r="B298" i="3" s="1"/>
  <c r="B177" i="3"/>
  <c r="B299" i="3" s="1"/>
  <c r="B178" i="3"/>
  <c r="B300" i="3" s="1"/>
  <c r="B179" i="3"/>
  <c r="B301" i="3" s="1"/>
  <c r="B180" i="3"/>
  <c r="B302" i="3" s="1"/>
  <c r="B181" i="3"/>
  <c r="B303" i="3" s="1"/>
  <c r="B182" i="3"/>
  <c r="B304" i="3" s="1"/>
  <c r="B183" i="3"/>
  <c r="B305" i="3" s="1"/>
  <c r="B184" i="3"/>
  <c r="B306" i="3" s="1"/>
  <c r="B185" i="3"/>
  <c r="B307" i="3" s="1"/>
  <c r="B186" i="3"/>
  <c r="B308" i="3" s="1"/>
  <c r="B187" i="3"/>
  <c r="B309" i="3" s="1"/>
  <c r="B188" i="3"/>
  <c r="B310" i="3" s="1"/>
  <c r="B189" i="3"/>
  <c r="B311" i="3" s="1"/>
  <c r="B190" i="3"/>
  <c r="B312" i="3" s="1"/>
  <c r="B191" i="3"/>
  <c r="B313" i="3" s="1"/>
  <c r="B192" i="3"/>
  <c r="B314" i="3" s="1"/>
  <c r="B193" i="3"/>
  <c r="B315" i="3" s="1"/>
  <c r="B194" i="3"/>
  <c r="B316" i="3" s="1"/>
  <c r="B195" i="3"/>
  <c r="B317" i="3" s="1"/>
  <c r="B196" i="3"/>
  <c r="B318" i="3" s="1"/>
  <c r="B197" i="3"/>
  <c r="B319" i="3" s="1"/>
  <c r="B198" i="3"/>
  <c r="B320" i="3" s="1"/>
  <c r="B199" i="3"/>
  <c r="B321" i="3" s="1"/>
  <c r="B200" i="3"/>
  <c r="B322" i="3" s="1"/>
  <c r="B201" i="3"/>
  <c r="B323" i="3" s="1"/>
  <c r="B202" i="3"/>
  <c r="B324" i="3" s="1"/>
  <c r="B203" i="3"/>
  <c r="B325" i="3" s="1"/>
  <c r="B204" i="3"/>
  <c r="B326" i="3" s="1"/>
  <c r="B205" i="3"/>
  <c r="B327" i="3" s="1"/>
  <c r="B206" i="3"/>
  <c r="B328" i="3" s="1"/>
  <c r="B207" i="3"/>
  <c r="B329" i="3" s="1"/>
  <c r="B208" i="3"/>
  <c r="B330" i="3" s="1"/>
  <c r="B209" i="3"/>
  <c r="B331" i="3" s="1"/>
  <c r="B210" i="3"/>
  <c r="B332" i="3" s="1"/>
  <c r="B211" i="3"/>
  <c r="B333" i="3" s="1"/>
  <c r="B212" i="3"/>
  <c r="B334" i="3" s="1"/>
  <c r="B213" i="3"/>
  <c r="B335" i="3" s="1"/>
  <c r="B214" i="3"/>
  <c r="B336" i="3" s="1"/>
  <c r="B215" i="3"/>
  <c r="B337" i="3" s="1"/>
  <c r="B216" i="3"/>
  <c r="B338" i="3" s="1"/>
  <c r="B217" i="3"/>
  <c r="B339" i="3" s="1"/>
  <c r="B218" i="3"/>
  <c r="B340" i="3" s="1"/>
  <c r="B219" i="3"/>
  <c r="B341" i="3" s="1"/>
  <c r="B220" i="3"/>
  <c r="B342" i="3" s="1"/>
  <c r="B221" i="3"/>
  <c r="B343" i="3" s="1"/>
  <c r="B222" i="3"/>
  <c r="B344" i="3" s="1"/>
  <c r="B223" i="3"/>
  <c r="B345" i="3" s="1"/>
  <c r="B224" i="3"/>
  <c r="B346" i="3" s="1"/>
  <c r="B225" i="3"/>
  <c r="B347" i="3" s="1"/>
  <c r="B226" i="3"/>
  <c r="B348" i="3" s="1"/>
  <c r="B227" i="3"/>
  <c r="B349" i="3" s="1"/>
  <c r="B228" i="3"/>
  <c r="B350" i="3" s="1"/>
  <c r="B229" i="3"/>
  <c r="B351" i="3" s="1"/>
  <c r="B230" i="3"/>
  <c r="B352" i="3" s="1"/>
  <c r="B231" i="3"/>
  <c r="B353" i="3" s="1"/>
  <c r="B131" i="3"/>
  <c r="B253" i="3" s="1"/>
  <c r="K17" i="3"/>
  <c r="I17" i="3"/>
  <c r="G17" i="3"/>
  <c r="E17" i="3"/>
  <c r="D17" i="3"/>
  <c r="S387" i="2"/>
  <c r="S388" i="2"/>
  <c r="S391" i="2"/>
  <c r="O388" i="2"/>
  <c r="J388" i="2" s="1"/>
  <c r="O389" i="2"/>
  <c r="J389" i="2" s="1"/>
  <c r="O390" i="2"/>
  <c r="J390" i="2" s="1"/>
  <c r="E387" i="2"/>
  <c r="F387" i="2" s="1"/>
  <c r="E388" i="2"/>
  <c r="F388" i="2" s="1"/>
  <c r="E389" i="2"/>
  <c r="F389" i="2" s="1"/>
  <c r="E390" i="2"/>
  <c r="F390" i="2" s="1"/>
  <c r="S471" i="2"/>
  <c r="S474" i="2"/>
  <c r="O469" i="2"/>
  <c r="J469" i="2" s="1"/>
  <c r="O470" i="2"/>
  <c r="J470" i="2" s="1"/>
  <c r="O472" i="2"/>
  <c r="J472" i="2" s="1"/>
  <c r="O473" i="2"/>
  <c r="J473" i="2" s="1"/>
  <c r="E473" i="2"/>
  <c r="F473" i="2" s="1"/>
  <c r="E472" i="2"/>
  <c r="F472" i="2" s="1"/>
  <c r="E471" i="2"/>
  <c r="F471" i="2" s="1"/>
  <c r="M390" i="2" l="1"/>
  <c r="M389" i="2"/>
  <c r="M388" i="2"/>
  <c r="L390" i="2"/>
  <c r="L389" i="2"/>
  <c r="L388" i="2"/>
  <c r="M473" i="2"/>
  <c r="M472" i="2"/>
  <c r="M470" i="2"/>
  <c r="M469" i="2"/>
  <c r="L473" i="2"/>
  <c r="L472" i="2"/>
  <c r="L470" i="2"/>
  <c r="L469" i="2"/>
  <c r="C138" i="34"/>
  <c r="E138" i="34" s="1"/>
  <c r="D138" i="34"/>
  <c r="C139" i="34"/>
  <c r="E139" i="34" s="1"/>
  <c r="D139" i="34"/>
  <c r="C140" i="34"/>
  <c r="E140" i="34" s="1"/>
  <c r="D140" i="34"/>
  <c r="C141" i="34"/>
  <c r="E141" i="34" s="1"/>
  <c r="D141" i="34"/>
  <c r="C142" i="34"/>
  <c r="D142" i="34"/>
  <c r="C143" i="34"/>
  <c r="E143" i="34" s="1"/>
  <c r="D143" i="34"/>
  <c r="C144" i="34"/>
  <c r="E144" i="34" s="1"/>
  <c r="D144" i="34"/>
  <c r="C145" i="34"/>
  <c r="E145" i="34" s="1"/>
  <c r="D145" i="34"/>
  <c r="C146" i="34"/>
  <c r="E146" i="34" s="1"/>
  <c r="D146" i="34"/>
  <c r="C147" i="34"/>
  <c r="E147" i="34" s="1"/>
  <c r="D147" i="34"/>
  <c r="C148" i="34"/>
  <c r="E148" i="34" s="1"/>
  <c r="D148" i="34"/>
  <c r="C149" i="34"/>
  <c r="F149" i="34" s="1"/>
  <c r="D149" i="34"/>
  <c r="C150" i="34"/>
  <c r="E150" i="34" s="1"/>
  <c r="D150" i="34"/>
  <c r="C151" i="34"/>
  <c r="E151" i="34" s="1"/>
  <c r="D151" i="34"/>
  <c r="F151" i="34"/>
  <c r="C152" i="34"/>
  <c r="E152" i="34" s="1"/>
  <c r="D152" i="34"/>
  <c r="C123" i="34"/>
  <c r="E123" i="34" s="1"/>
  <c r="D123" i="34"/>
  <c r="C124" i="34"/>
  <c r="E124" i="34" s="1"/>
  <c r="D124" i="34"/>
  <c r="C125" i="34"/>
  <c r="E125" i="34" s="1"/>
  <c r="D125" i="34"/>
  <c r="C126" i="34"/>
  <c r="E126" i="34" s="1"/>
  <c r="D126" i="34"/>
  <c r="C127" i="34"/>
  <c r="E127" i="34" s="1"/>
  <c r="D127" i="34"/>
  <c r="C128" i="34"/>
  <c r="E128" i="34" s="1"/>
  <c r="D128" i="34"/>
  <c r="C129" i="34"/>
  <c r="E129" i="34" s="1"/>
  <c r="D129" i="34"/>
  <c r="C130" i="34"/>
  <c r="E130" i="34" s="1"/>
  <c r="D130" i="34"/>
  <c r="C131" i="34"/>
  <c r="E131" i="34" s="1"/>
  <c r="D131" i="34"/>
  <c r="C132" i="34"/>
  <c r="E132" i="34" s="1"/>
  <c r="D132" i="34"/>
  <c r="C133" i="34"/>
  <c r="E133" i="34" s="1"/>
  <c r="D133" i="34"/>
  <c r="C134" i="34"/>
  <c r="E134" i="34" s="1"/>
  <c r="D134" i="34"/>
  <c r="C135" i="34"/>
  <c r="E135" i="34" s="1"/>
  <c r="D135" i="34"/>
  <c r="C136" i="34"/>
  <c r="F136" i="34" s="1"/>
  <c r="D136" i="34"/>
  <c r="C137" i="34"/>
  <c r="E137" i="34" s="1"/>
  <c r="D137" i="34"/>
  <c r="C113" i="34"/>
  <c r="D113" i="34"/>
  <c r="C114" i="34"/>
  <c r="E114" i="34" s="1"/>
  <c r="D114" i="34"/>
  <c r="C115" i="34"/>
  <c r="E115" i="34" s="1"/>
  <c r="D115" i="34"/>
  <c r="C116" i="34"/>
  <c r="F116" i="34" s="1"/>
  <c r="D116" i="34"/>
  <c r="C117" i="34"/>
  <c r="E117" i="34" s="1"/>
  <c r="D117" i="34"/>
  <c r="C118" i="34"/>
  <c r="E118" i="34" s="1"/>
  <c r="D118" i="34"/>
  <c r="C119" i="34"/>
  <c r="E119" i="34" s="1"/>
  <c r="D119" i="34"/>
  <c r="C120" i="34"/>
  <c r="E120" i="34" s="1"/>
  <c r="D120" i="34"/>
  <c r="C121" i="34"/>
  <c r="E121" i="34" s="1"/>
  <c r="D121" i="34"/>
  <c r="C122" i="34"/>
  <c r="E122" i="34" s="1"/>
  <c r="D122" i="34"/>
  <c r="E136" i="34" l="1"/>
  <c r="E149" i="34"/>
  <c r="E116" i="34"/>
  <c r="F130" i="34"/>
  <c r="F120" i="34"/>
  <c r="F132" i="34"/>
  <c r="F126" i="34"/>
  <c r="F143" i="34"/>
  <c r="F128" i="34"/>
  <c r="F124" i="34"/>
  <c r="F145" i="34"/>
  <c r="F141" i="34"/>
  <c r="E113" i="34"/>
  <c r="F134" i="34"/>
  <c r="F147" i="34"/>
  <c r="E142" i="34"/>
  <c r="F139" i="34"/>
  <c r="F152" i="34"/>
  <c r="F148" i="34"/>
  <c r="F144" i="34"/>
  <c r="F140" i="34"/>
  <c r="F150" i="34"/>
  <c r="F146" i="34"/>
  <c r="F142" i="34"/>
  <c r="F138" i="34"/>
  <c r="F137" i="34"/>
  <c r="F133" i="34"/>
  <c r="F129" i="34"/>
  <c r="F125" i="34"/>
  <c r="F135" i="34"/>
  <c r="F131" i="34"/>
  <c r="F127" i="34"/>
  <c r="F123" i="34"/>
  <c r="F119" i="34"/>
  <c r="F115" i="34"/>
  <c r="F122" i="34"/>
  <c r="F118" i="34"/>
  <c r="F114" i="34"/>
  <c r="F121" i="34"/>
  <c r="F117" i="34"/>
  <c r="F113" i="34"/>
  <c r="S115" i="2"/>
  <c r="S121" i="2"/>
  <c r="O116" i="2"/>
  <c r="J116" i="2" s="1"/>
  <c r="O117" i="2"/>
  <c r="J117" i="2" s="1"/>
  <c r="O118" i="2"/>
  <c r="J118" i="2" s="1"/>
  <c r="O119" i="2"/>
  <c r="J119" i="2" s="1"/>
  <c r="P116" i="2"/>
  <c r="E119" i="2"/>
  <c r="F119" i="2" s="1"/>
  <c r="E118" i="2"/>
  <c r="F118" i="2" s="1"/>
  <c r="E117" i="2"/>
  <c r="F117" i="2" s="1"/>
  <c r="E116" i="2"/>
  <c r="F116" i="2" s="1"/>
  <c r="E115" i="2"/>
  <c r="F115" i="2" s="1"/>
  <c r="O122" i="2"/>
  <c r="J122" i="2" s="1"/>
  <c r="O123" i="2"/>
  <c r="J123" i="2" s="1"/>
  <c r="O124" i="2"/>
  <c r="J124" i="2" s="1"/>
  <c r="O125" i="2"/>
  <c r="J125" i="2" s="1"/>
  <c r="O126" i="2"/>
  <c r="J126" i="2" s="1"/>
  <c r="O127" i="2"/>
  <c r="J127" i="2" s="1"/>
  <c r="O128" i="2"/>
  <c r="J128" i="2" s="1"/>
  <c r="O133" i="2"/>
  <c r="J133" i="2" s="1"/>
  <c r="E128" i="2"/>
  <c r="F128" i="2" s="1"/>
  <c r="E127" i="2"/>
  <c r="F127" i="2" s="1"/>
  <c r="E126" i="2"/>
  <c r="F126" i="2" s="1"/>
  <c r="E125" i="2"/>
  <c r="F125" i="2" s="1"/>
  <c r="E124" i="2"/>
  <c r="F124" i="2" s="1"/>
  <c r="E123" i="2"/>
  <c r="F123" i="2" s="1"/>
  <c r="E122" i="2"/>
  <c r="F122" i="2" s="1"/>
  <c r="E121" i="2"/>
  <c r="F121" i="2" s="1"/>
  <c r="S145" i="2"/>
  <c r="S146" i="2"/>
  <c r="S150" i="2"/>
  <c r="O146" i="2"/>
  <c r="J146" i="2" s="1"/>
  <c r="O147" i="2"/>
  <c r="J147" i="2" s="1"/>
  <c r="O148" i="2"/>
  <c r="J148" i="2" s="1"/>
  <c r="O149" i="2"/>
  <c r="J149" i="2" s="1"/>
  <c r="E149" i="2"/>
  <c r="F149" i="2" s="1"/>
  <c r="E148" i="2"/>
  <c r="F148" i="2" s="1"/>
  <c r="E147" i="2"/>
  <c r="F147" i="2" s="1"/>
  <c r="E146" i="2"/>
  <c r="F146" i="2" s="1"/>
  <c r="E145" i="2"/>
  <c r="F145" i="2" s="1"/>
  <c r="O134" i="2"/>
  <c r="J134" i="2" s="1"/>
  <c r="O135" i="2"/>
  <c r="J135" i="2" s="1"/>
  <c r="O136" i="2"/>
  <c r="J136" i="2" s="1"/>
  <c r="O137" i="2"/>
  <c r="J137" i="2" s="1"/>
  <c r="O138" i="2"/>
  <c r="J138" i="2" s="1"/>
  <c r="O139" i="2"/>
  <c r="J139" i="2" s="1"/>
  <c r="O140" i="2"/>
  <c r="J140" i="2" s="1"/>
  <c r="O141" i="2"/>
  <c r="J141" i="2" s="1"/>
  <c r="O142" i="2"/>
  <c r="J142" i="2" s="1"/>
  <c r="O143" i="2"/>
  <c r="J143" i="2" s="1"/>
  <c r="O144" i="2"/>
  <c r="J144" i="2" s="1"/>
  <c r="E144" i="2"/>
  <c r="F144" i="2" s="1"/>
  <c r="E143" i="2"/>
  <c r="F143" i="2" s="1"/>
  <c r="E142" i="2"/>
  <c r="F142" i="2" s="1"/>
  <c r="E141" i="2"/>
  <c r="F141" i="2" s="1"/>
  <c r="E140" i="2"/>
  <c r="F140" i="2" s="1"/>
  <c r="E139" i="2"/>
  <c r="F139" i="2" s="1"/>
  <c r="E138" i="2"/>
  <c r="F138" i="2" s="1"/>
  <c r="E137" i="2"/>
  <c r="F137" i="2" s="1"/>
  <c r="E136" i="2"/>
  <c r="F136" i="2" s="1"/>
  <c r="E135" i="2"/>
  <c r="F135" i="2" s="1"/>
  <c r="E134" i="2"/>
  <c r="F134" i="2" s="1"/>
  <c r="E133" i="2"/>
  <c r="F133" i="2" s="1"/>
  <c r="E132" i="2"/>
  <c r="F132" i="2" s="1"/>
  <c r="O884" i="2"/>
  <c r="O883" i="2"/>
  <c r="O882" i="2"/>
  <c r="O881" i="2"/>
  <c r="O880" i="2"/>
  <c r="O879" i="2"/>
  <c r="O878" i="2"/>
  <c r="O877" i="2"/>
  <c r="O876" i="2"/>
  <c r="O875" i="2"/>
  <c r="O866" i="2"/>
  <c r="O865" i="2"/>
  <c r="O864" i="2"/>
  <c r="O863" i="2"/>
  <c r="O862" i="2"/>
  <c r="O860" i="2"/>
  <c r="O859" i="2"/>
  <c r="O858" i="2"/>
  <c r="O857" i="2"/>
  <c r="O851" i="2"/>
  <c r="O850" i="2"/>
  <c r="O846" i="2"/>
  <c r="O845" i="2"/>
  <c r="O844" i="2"/>
  <c r="O843" i="2"/>
  <c r="O842" i="2"/>
  <c r="O840" i="2"/>
  <c r="O839" i="2"/>
  <c r="O837" i="2"/>
  <c r="O836" i="2"/>
  <c r="O834" i="2"/>
  <c r="O833" i="2"/>
  <c r="O832" i="2"/>
  <c r="O831" i="2"/>
  <c r="O829" i="2"/>
  <c r="O828" i="2"/>
  <c r="O827" i="2"/>
  <c r="O826" i="2"/>
  <c r="O825" i="2"/>
  <c r="O822" i="2"/>
  <c r="O821" i="2"/>
  <c r="O820" i="2"/>
  <c r="O819" i="2"/>
  <c r="O818" i="2"/>
  <c r="O817" i="2"/>
  <c r="O816" i="2"/>
  <c r="O815" i="2"/>
  <c r="O813" i="2"/>
  <c r="O812" i="2"/>
  <c r="O811" i="2"/>
  <c r="O810" i="2"/>
  <c r="O808" i="2"/>
  <c r="O807" i="2"/>
  <c r="O806" i="2"/>
  <c r="O805" i="2"/>
  <c r="O802" i="2"/>
  <c r="O801" i="2"/>
  <c r="O800" i="2"/>
  <c r="O798" i="2"/>
  <c r="O796" i="2"/>
  <c r="O795" i="2"/>
  <c r="O794" i="2"/>
  <c r="O793" i="2"/>
  <c r="O792" i="2"/>
  <c r="O791" i="2"/>
  <c r="O790" i="2"/>
  <c r="O789" i="2"/>
  <c r="O788" i="2"/>
  <c r="O787" i="2"/>
  <c r="O786" i="2"/>
  <c r="O785" i="2"/>
  <c r="O784" i="2"/>
  <c r="O783" i="2"/>
  <c r="O782" i="2"/>
  <c r="O781" i="2"/>
  <c r="O780" i="2"/>
  <c r="O779" i="2"/>
  <c r="O778" i="2"/>
  <c r="O777" i="2"/>
  <c r="O776" i="2"/>
  <c r="O775" i="2"/>
  <c r="O774" i="2"/>
  <c r="O773" i="2"/>
  <c r="O772" i="2"/>
  <c r="O770" i="2"/>
  <c r="O769" i="2"/>
  <c r="O768" i="2"/>
  <c r="O767" i="2"/>
  <c r="O766" i="2"/>
  <c r="O765" i="2"/>
  <c r="O764" i="2"/>
  <c r="O761" i="2"/>
  <c r="O760" i="2"/>
  <c r="O759" i="2"/>
  <c r="O758" i="2"/>
  <c r="O757" i="2"/>
  <c r="O756" i="2"/>
  <c r="O755" i="2"/>
  <c r="O754" i="2"/>
  <c r="O753" i="2"/>
  <c r="O752" i="2"/>
  <c r="O751" i="2"/>
  <c r="O750" i="2"/>
  <c r="O748" i="2"/>
  <c r="O747" i="2"/>
  <c r="O746" i="2"/>
  <c r="O745" i="2"/>
  <c r="O744" i="2"/>
  <c r="O743" i="2"/>
  <c r="O742" i="2"/>
  <c r="O741" i="2"/>
  <c r="O738" i="2"/>
  <c r="O737" i="2"/>
  <c r="O736" i="2"/>
  <c r="O735" i="2"/>
  <c r="O734" i="2"/>
  <c r="O732" i="2"/>
  <c r="O731" i="2"/>
  <c r="O730" i="2"/>
  <c r="O729" i="2"/>
  <c r="O728" i="2"/>
  <c r="O727" i="2"/>
  <c r="O726" i="2"/>
  <c r="O725" i="2"/>
  <c r="O723" i="2"/>
  <c r="O722" i="2"/>
  <c r="O721" i="2"/>
  <c r="O720" i="2"/>
  <c r="O719" i="2"/>
  <c r="O718" i="2"/>
  <c r="O717" i="2"/>
  <c r="O716" i="2"/>
  <c r="O715" i="2"/>
  <c r="O714" i="2"/>
  <c r="O713" i="2"/>
  <c r="O712" i="2"/>
  <c r="O711" i="2"/>
  <c r="O707" i="2"/>
  <c r="O706" i="2"/>
  <c r="O705" i="2"/>
  <c r="O704" i="2"/>
  <c r="O703" i="2"/>
  <c r="O696" i="2"/>
  <c r="O695" i="2"/>
  <c r="O672" i="2"/>
  <c r="O671" i="2"/>
  <c r="O670" i="2"/>
  <c r="O669" i="2"/>
  <c r="O668" i="2"/>
  <c r="O667" i="2"/>
  <c r="O666" i="2"/>
  <c r="O665" i="2"/>
  <c r="O664" i="2"/>
  <c r="O663" i="2"/>
  <c r="O662" i="2"/>
  <c r="O661" i="2"/>
  <c r="O660" i="2"/>
  <c r="O659" i="2"/>
  <c r="O658" i="2"/>
  <c r="O657" i="2"/>
  <c r="O656" i="2"/>
  <c r="O655" i="2"/>
  <c r="O653" i="2"/>
  <c r="O652" i="2"/>
  <c r="O651" i="2"/>
  <c r="O644" i="2"/>
  <c r="O643" i="2"/>
  <c r="O642" i="2"/>
  <c r="O641" i="2"/>
  <c r="O640" i="2"/>
  <c r="O639" i="2"/>
  <c r="O638" i="2"/>
  <c r="O637" i="2"/>
  <c r="O636" i="2"/>
  <c r="O635" i="2"/>
  <c r="O623" i="2"/>
  <c r="O622" i="2"/>
  <c r="O621" i="2"/>
  <c r="O620" i="2"/>
  <c r="O616" i="2"/>
  <c r="O615" i="2"/>
  <c r="O613" i="2"/>
  <c r="O612" i="2"/>
  <c r="O611" i="2"/>
  <c r="O610" i="2"/>
  <c r="O609" i="2"/>
  <c r="O608" i="2"/>
  <c r="O607" i="2"/>
  <c r="O606" i="2"/>
  <c r="O605" i="2"/>
  <c r="O604" i="2"/>
  <c r="O603" i="2"/>
  <c r="O602" i="2"/>
  <c r="O594" i="2"/>
  <c r="O593" i="2"/>
  <c r="O592" i="2"/>
  <c r="O591" i="2"/>
  <c r="O590" i="2"/>
  <c r="O588" i="2"/>
  <c r="O587" i="2"/>
  <c r="O586" i="2"/>
  <c r="O585" i="2"/>
  <c r="O584" i="2"/>
  <c r="O583" i="2"/>
  <c r="O582" i="2"/>
  <c r="O581" i="2"/>
  <c r="O580" i="2"/>
  <c r="O574" i="2"/>
  <c r="O573" i="2"/>
  <c r="O572" i="2"/>
  <c r="O571" i="2"/>
  <c r="O570" i="2"/>
  <c r="O569" i="2"/>
  <c r="O567" i="2"/>
  <c r="O566" i="2"/>
  <c r="O565" i="2"/>
  <c r="O564" i="2"/>
  <c r="O563" i="2"/>
  <c r="O562" i="2"/>
  <c r="O560" i="2"/>
  <c r="O559" i="2"/>
  <c r="O558" i="2"/>
  <c r="O557" i="2"/>
  <c r="O556" i="2"/>
  <c r="O555" i="2"/>
  <c r="O554" i="2"/>
  <c r="O553" i="2"/>
  <c r="O552" i="2"/>
  <c r="O551" i="2"/>
  <c r="O550" i="2"/>
  <c r="O549" i="2"/>
  <c r="O548" i="2"/>
  <c r="O547" i="2"/>
  <c r="O546" i="2"/>
  <c r="O545" i="2"/>
  <c r="O544" i="2"/>
  <c r="O543" i="2"/>
  <c r="O542" i="2"/>
  <c r="O541" i="2"/>
  <c r="O540" i="2"/>
  <c r="O539" i="2"/>
  <c r="O538" i="2"/>
  <c r="O537" i="2"/>
  <c r="O536" i="2"/>
  <c r="O535" i="2"/>
  <c r="O533" i="2"/>
  <c r="O532" i="2"/>
  <c r="O531" i="2"/>
  <c r="O529" i="2"/>
  <c r="O528" i="2"/>
  <c r="O527" i="2"/>
  <c r="O526" i="2"/>
  <c r="O525" i="2"/>
  <c r="O524" i="2"/>
  <c r="O523" i="2"/>
  <c r="O522" i="2"/>
  <c r="O521" i="2"/>
  <c r="O520" i="2"/>
  <c r="O519" i="2"/>
  <c r="O518" i="2"/>
  <c r="O516" i="2"/>
  <c r="O515" i="2"/>
  <c r="O514" i="2"/>
  <c r="O513" i="2"/>
  <c r="O511" i="2"/>
  <c r="O510" i="2"/>
  <c r="O509" i="2"/>
  <c r="O508" i="2"/>
  <c r="O507" i="2"/>
  <c r="O506" i="2"/>
  <c r="O504" i="2"/>
  <c r="O503" i="2"/>
  <c r="O502" i="2"/>
  <c r="O501" i="2"/>
  <c r="O500" i="2"/>
  <c r="O499" i="2"/>
  <c r="O497" i="2"/>
  <c r="O496" i="2"/>
  <c r="O495" i="2"/>
  <c r="O494" i="2"/>
  <c r="O492" i="2"/>
  <c r="O491" i="2"/>
  <c r="O490" i="2"/>
  <c r="O489" i="2"/>
  <c r="O488" i="2"/>
  <c r="O487" i="2"/>
  <c r="O486" i="2"/>
  <c r="O485" i="2"/>
  <c r="O484" i="2"/>
  <c r="O483" i="2"/>
  <c r="O482" i="2"/>
  <c r="O481" i="2"/>
  <c r="O478" i="2"/>
  <c r="O477" i="2"/>
  <c r="O476" i="2"/>
  <c r="O475" i="2"/>
  <c r="O467" i="2"/>
  <c r="O466" i="2"/>
  <c r="O465" i="2"/>
  <c r="O464" i="2"/>
  <c r="O463" i="2"/>
  <c r="O461" i="2"/>
  <c r="O460" i="2"/>
  <c r="O459" i="2"/>
  <c r="O458" i="2"/>
  <c r="O446" i="2"/>
  <c r="O445" i="2"/>
  <c r="O444" i="2"/>
  <c r="O437" i="2"/>
  <c r="O436" i="2"/>
  <c r="O435" i="2"/>
  <c r="O433" i="2"/>
  <c r="O432" i="2"/>
  <c r="O431" i="2"/>
  <c r="O414" i="2"/>
  <c r="O413" i="2"/>
  <c r="O412" i="2"/>
  <c r="O411" i="2"/>
  <c r="O410" i="2"/>
  <c r="O409" i="2"/>
  <c r="O408" i="2"/>
  <c r="O407" i="2"/>
  <c r="O406" i="2"/>
  <c r="O404" i="2"/>
  <c r="O403" i="2"/>
  <c r="O402" i="2"/>
  <c r="O401" i="2"/>
  <c r="O400" i="2"/>
  <c r="O399" i="2"/>
  <c r="O397" i="2"/>
  <c r="O396" i="2"/>
  <c r="O395" i="2"/>
  <c r="O394" i="2"/>
  <c r="O393" i="2"/>
  <c r="O392" i="2"/>
  <c r="O386" i="2"/>
  <c r="O385" i="2"/>
  <c r="O384" i="2"/>
  <c r="O383" i="2"/>
  <c r="O381" i="2"/>
  <c r="O380" i="2"/>
  <c r="O379" i="2"/>
  <c r="O377" i="2"/>
  <c r="O376" i="2"/>
  <c r="O375" i="2"/>
  <c r="O374" i="2"/>
  <c r="O372" i="2"/>
  <c r="O371" i="2"/>
  <c r="O370" i="2"/>
  <c r="O369" i="2"/>
  <c r="O368" i="2"/>
  <c r="O367" i="2"/>
  <c r="O366" i="2"/>
  <c r="O365" i="2"/>
  <c r="O364" i="2"/>
  <c r="O358" i="2"/>
  <c r="O357" i="2"/>
  <c r="O356" i="2"/>
  <c r="O355" i="2"/>
  <c r="O354" i="2"/>
  <c r="O353" i="2"/>
  <c r="O351" i="2"/>
  <c r="O350" i="2"/>
  <c r="O349" i="2"/>
  <c r="O348" i="2"/>
  <c r="O347" i="2"/>
  <c r="O345" i="2"/>
  <c r="O344" i="2"/>
  <c r="O343" i="2"/>
  <c r="O342" i="2"/>
  <c r="O341"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8" i="2"/>
  <c r="O307" i="2"/>
  <c r="O306" i="2"/>
  <c r="O305" i="2"/>
  <c r="O304" i="2"/>
  <c r="O302" i="2"/>
  <c r="O301" i="2"/>
  <c r="O300" i="2"/>
  <c r="O299" i="2"/>
  <c r="O296" i="2"/>
  <c r="O295" i="2"/>
  <c r="O294" i="2"/>
  <c r="O285" i="2"/>
  <c r="O284" i="2"/>
  <c r="O282" i="2"/>
  <c r="O281" i="2"/>
  <c r="O280" i="2"/>
  <c r="O279" i="2"/>
  <c r="O278" i="2"/>
  <c r="O275" i="2"/>
  <c r="O274" i="2"/>
  <c r="O273" i="2"/>
  <c r="O272" i="2"/>
  <c r="O271" i="2"/>
  <c r="O270" i="2"/>
  <c r="O269"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14" i="2"/>
  <c r="J114" i="2" s="1"/>
  <c r="O113" i="2"/>
  <c r="J113" i="2" s="1"/>
  <c r="O112" i="2"/>
  <c r="J112" i="2" s="1"/>
  <c r="O111" i="2"/>
  <c r="J111" i="2" s="1"/>
  <c r="O109" i="2"/>
  <c r="O108" i="2"/>
  <c r="O107" i="2"/>
  <c r="O101" i="2"/>
  <c r="O100" i="2"/>
  <c r="O99" i="2"/>
  <c r="O98" i="2"/>
  <c r="O96" i="2"/>
  <c r="O95" i="2"/>
  <c r="O94" i="2"/>
  <c r="O93" i="2"/>
  <c r="O92" i="2"/>
  <c r="O91" i="2"/>
  <c r="O90" i="2"/>
  <c r="O89" i="2"/>
  <c r="O87" i="2"/>
  <c r="O86" i="2"/>
  <c r="O85" i="2"/>
  <c r="O83" i="2"/>
  <c r="O82" i="2"/>
  <c r="O81" i="2"/>
  <c r="O80" i="2"/>
  <c r="O79" i="2"/>
  <c r="O78" i="2"/>
  <c r="O77" i="2"/>
  <c r="O76" i="2"/>
  <c r="O75" i="2"/>
  <c r="O74" i="2"/>
  <c r="O73" i="2"/>
  <c r="O72" i="2"/>
  <c r="O70" i="2"/>
  <c r="O69" i="2"/>
  <c r="O68" i="2"/>
  <c r="O65" i="2"/>
  <c r="O64" i="2"/>
  <c r="O63" i="2"/>
  <c r="O62" i="2"/>
  <c r="O61" i="2"/>
  <c r="O59" i="2"/>
  <c r="O58" i="2"/>
  <c r="O57" i="2"/>
  <c r="O47" i="2"/>
  <c r="O46" i="2"/>
  <c r="O45" i="2"/>
  <c r="O44" i="2"/>
  <c r="O43" i="2"/>
  <c r="O42" i="2"/>
  <c r="O41" i="2"/>
  <c r="O39" i="2"/>
  <c r="O38" i="2"/>
  <c r="O35" i="2"/>
  <c r="O34" i="2"/>
  <c r="O33" i="2"/>
  <c r="O32" i="2"/>
  <c r="O31" i="2"/>
  <c r="O30" i="2"/>
  <c r="O27" i="2"/>
  <c r="O26" i="2"/>
  <c r="O25" i="2"/>
  <c r="O24" i="2"/>
  <c r="O22" i="2"/>
  <c r="O21" i="2"/>
  <c r="O20" i="2"/>
  <c r="O19" i="2"/>
  <c r="O18" i="2"/>
  <c r="O17" i="2"/>
  <c r="O15" i="2"/>
  <c r="O14" i="2"/>
  <c r="O13" i="2"/>
  <c r="O12" i="2"/>
  <c r="O11" i="2"/>
  <c r="E120" i="2"/>
  <c r="F120" i="2" s="1"/>
  <c r="S110" i="2"/>
  <c r="E114" i="2"/>
  <c r="F114" i="2" s="1"/>
  <c r="E113" i="2"/>
  <c r="F113" i="2" s="1"/>
  <c r="E112" i="2"/>
  <c r="F112" i="2" s="1"/>
  <c r="E111" i="2"/>
  <c r="F111" i="2" s="1"/>
  <c r="E110" i="2"/>
  <c r="F110" i="2" s="1"/>
  <c r="X10" i="3"/>
  <c r="Y10" i="3"/>
  <c r="M119" i="2" l="1"/>
  <c r="M118" i="2"/>
  <c r="M117" i="2"/>
  <c r="M116" i="2"/>
  <c r="L119" i="2"/>
  <c r="L118" i="2"/>
  <c r="L117" i="2"/>
  <c r="L116" i="2"/>
  <c r="M133" i="2"/>
  <c r="M128" i="2"/>
  <c r="M127" i="2"/>
  <c r="M126" i="2"/>
  <c r="M125" i="2"/>
  <c r="M124" i="2"/>
  <c r="M123" i="2"/>
  <c r="M122" i="2"/>
  <c r="L133" i="2"/>
  <c r="L128" i="2"/>
  <c r="L127" i="2"/>
  <c r="L126" i="2"/>
  <c r="L125" i="2"/>
  <c r="L124" i="2"/>
  <c r="L123" i="2"/>
  <c r="L122" i="2"/>
  <c r="M149" i="2"/>
  <c r="M148" i="2"/>
  <c r="M147" i="2"/>
  <c r="M146" i="2"/>
  <c r="L149" i="2"/>
  <c r="L148" i="2"/>
  <c r="L147" i="2"/>
  <c r="L146" i="2"/>
  <c r="M144" i="2"/>
  <c r="M143" i="2"/>
  <c r="M142" i="2"/>
  <c r="M141" i="2"/>
  <c r="M140" i="2"/>
  <c r="M139" i="2"/>
  <c r="M138" i="2"/>
  <c r="M137" i="2"/>
  <c r="M136" i="2"/>
  <c r="M135" i="2"/>
  <c r="M134" i="2"/>
  <c r="L144" i="2"/>
  <c r="L143" i="2"/>
  <c r="L142" i="2"/>
  <c r="L141" i="2"/>
  <c r="L140" i="2"/>
  <c r="L139" i="2"/>
  <c r="L138" i="2"/>
  <c r="L137" i="2"/>
  <c r="L136" i="2"/>
  <c r="L135" i="2"/>
  <c r="L134" i="2"/>
  <c r="M114" i="2"/>
  <c r="M113" i="2"/>
  <c r="M112" i="2"/>
  <c r="M111" i="2"/>
  <c r="L114" i="2"/>
  <c r="L113" i="2"/>
  <c r="L112" i="2"/>
  <c r="L111" i="2"/>
  <c r="S107" i="2"/>
  <c r="S268" i="2"/>
  <c r="J107" i="2"/>
  <c r="J108" i="2"/>
  <c r="L109" i="2"/>
  <c r="E109" i="2"/>
  <c r="F109" i="2" s="1"/>
  <c r="E108" i="2"/>
  <c r="F108" i="2" s="1"/>
  <c r="E107" i="2"/>
  <c r="F107" i="2" s="1"/>
  <c r="E106" i="2"/>
  <c r="F106" i="2" s="1"/>
  <c r="E104" i="2"/>
  <c r="F104" i="2" s="1"/>
  <c r="J304" i="2"/>
  <c r="J305" i="2"/>
  <c r="J306" i="2"/>
  <c r="J307" i="2"/>
  <c r="J308" i="2"/>
  <c r="E308" i="2"/>
  <c r="F308" i="2" s="1"/>
  <c r="E307" i="2"/>
  <c r="F307" i="2" s="1"/>
  <c r="E306" i="2"/>
  <c r="F306" i="2" s="1"/>
  <c r="E305" i="2"/>
  <c r="F305" i="2" s="1"/>
  <c r="E304" i="2"/>
  <c r="F304" i="2" s="1"/>
  <c r="E303" i="2"/>
  <c r="F303" i="2" s="1"/>
  <c r="S298" i="2"/>
  <c r="S309" i="2"/>
  <c r="J299" i="2"/>
  <c r="J300" i="2"/>
  <c r="J301" i="2"/>
  <c r="J302" i="2"/>
  <c r="J310" i="2"/>
  <c r="E302" i="2"/>
  <c r="F302" i="2" s="1"/>
  <c r="E301" i="2"/>
  <c r="F301" i="2" s="1"/>
  <c r="E300" i="2"/>
  <c r="F300" i="2" s="1"/>
  <c r="E299" i="2"/>
  <c r="F299" i="2" s="1"/>
  <c r="E298" i="2"/>
  <c r="F298" i="2" s="1"/>
  <c r="J296" i="2"/>
  <c r="E297" i="2"/>
  <c r="F297" i="2" s="1"/>
  <c r="S293" i="2"/>
  <c r="J294" i="2"/>
  <c r="J295" i="2"/>
  <c r="E296" i="2"/>
  <c r="F296" i="2" s="1"/>
  <c r="E295" i="2"/>
  <c r="F295" i="2" s="1"/>
  <c r="E294" i="2"/>
  <c r="F294" i="2" s="1"/>
  <c r="E293" i="2"/>
  <c r="F293" i="2" s="1"/>
  <c r="E287" i="2"/>
  <c r="F287" i="2" s="1"/>
  <c r="E286" i="2"/>
  <c r="F286" i="2" s="1"/>
  <c r="S283" i="2"/>
  <c r="J284" i="2"/>
  <c r="J285" i="2"/>
  <c r="E285" i="2"/>
  <c r="F285" i="2" s="1"/>
  <c r="E284" i="2"/>
  <c r="F284" i="2" s="1"/>
  <c r="E283" i="2"/>
  <c r="F283" i="2" s="1"/>
  <c r="J269" i="2"/>
  <c r="J270" i="2"/>
  <c r="J271" i="2"/>
  <c r="J272" i="2"/>
  <c r="J273" i="2"/>
  <c r="J274" i="2"/>
  <c r="J275" i="2"/>
  <c r="J278" i="2"/>
  <c r="J279" i="2"/>
  <c r="J280" i="2"/>
  <c r="J281" i="2"/>
  <c r="J282" i="2"/>
  <c r="S277" i="2"/>
  <c r="E282" i="2"/>
  <c r="F282" i="2" s="1"/>
  <c r="E281" i="2"/>
  <c r="F281" i="2" s="1"/>
  <c r="E280" i="2"/>
  <c r="F280" i="2" s="1"/>
  <c r="E279" i="2"/>
  <c r="F279" i="2" s="1"/>
  <c r="E278" i="2"/>
  <c r="F278" i="2" s="1"/>
  <c r="E277" i="2"/>
  <c r="F277" i="2" s="1"/>
  <c r="E309" i="2"/>
  <c r="F309" i="2" s="1"/>
  <c r="E292" i="2"/>
  <c r="F292" i="2" s="1"/>
  <c r="E276" i="2"/>
  <c r="F276" i="2" s="1"/>
  <c r="E275" i="2"/>
  <c r="F275" i="2" s="1"/>
  <c r="E274" i="2"/>
  <c r="F274" i="2" s="1"/>
  <c r="E273" i="2"/>
  <c r="F273" i="2" s="1"/>
  <c r="E272" i="2"/>
  <c r="F272" i="2" s="1"/>
  <c r="E271" i="2"/>
  <c r="F271" i="2" s="1"/>
  <c r="E270" i="2"/>
  <c r="F270" i="2" s="1"/>
  <c r="E269" i="2"/>
  <c r="F269" i="2" s="1"/>
  <c r="E268" i="2"/>
  <c r="F268" i="2" s="1"/>
  <c r="E101" i="2"/>
  <c r="F101" i="2" s="1"/>
  <c r="E100" i="2"/>
  <c r="F100" i="2" s="1"/>
  <c r="E99" i="2"/>
  <c r="F99" i="2" s="1"/>
  <c r="E98" i="2"/>
  <c r="F98" i="2" s="1"/>
  <c r="E97" i="2"/>
  <c r="F97" i="2" s="1"/>
  <c r="J109" i="2" l="1"/>
  <c r="M109" i="2"/>
  <c r="M108" i="2"/>
  <c r="L108" i="2"/>
  <c r="M107" i="2"/>
  <c r="L107" i="2"/>
  <c r="M308" i="2"/>
  <c r="M307" i="2"/>
  <c r="M306" i="2"/>
  <c r="M305" i="2"/>
  <c r="M304" i="2"/>
  <c r="L308" i="2"/>
  <c r="L307" i="2"/>
  <c r="L306" i="2"/>
  <c r="L305" i="2"/>
  <c r="L304" i="2"/>
  <c r="M310" i="2"/>
  <c r="M302" i="2"/>
  <c r="M301" i="2"/>
  <c r="M300" i="2"/>
  <c r="M299" i="2"/>
  <c r="L310" i="2"/>
  <c r="L302" i="2"/>
  <c r="L301" i="2"/>
  <c r="L300" i="2"/>
  <c r="L299" i="2"/>
  <c r="M296" i="2"/>
  <c r="L296" i="2"/>
  <c r="M295" i="2"/>
  <c r="M294" i="2"/>
  <c r="L295" i="2"/>
  <c r="L294" i="2"/>
  <c r="L285" i="2"/>
  <c r="L284" i="2"/>
  <c r="M285" i="2"/>
  <c r="M284" i="2"/>
  <c r="M275" i="2"/>
  <c r="M273" i="2"/>
  <c r="M271" i="2"/>
  <c r="M274" i="2"/>
  <c r="M272" i="2"/>
  <c r="M282" i="2"/>
  <c r="M281" i="2"/>
  <c r="M280" i="2"/>
  <c r="M279" i="2"/>
  <c r="M278" i="2"/>
  <c r="M270" i="2"/>
  <c r="M269" i="2"/>
  <c r="L282" i="2"/>
  <c r="L281" i="2"/>
  <c r="L280" i="2"/>
  <c r="L279" i="2"/>
  <c r="L278" i="2"/>
  <c r="L275" i="2"/>
  <c r="L274" i="2"/>
  <c r="L273" i="2"/>
  <c r="L272" i="2"/>
  <c r="L271" i="2"/>
  <c r="L270" i="2"/>
  <c r="L269" i="2"/>
  <c r="J98" i="2"/>
  <c r="J99" i="2"/>
  <c r="J100" i="2"/>
  <c r="J101" i="2"/>
  <c r="M101" i="2" l="1"/>
  <c r="M100" i="2"/>
  <c r="M99" i="2"/>
  <c r="M98" i="2"/>
  <c r="L101" i="2"/>
  <c r="L100" i="2"/>
  <c r="L99" i="2"/>
  <c r="L98" i="2"/>
  <c r="S267" i="2" l="1"/>
  <c r="S97" i="2"/>
  <c r="J266" i="2"/>
  <c r="M266" i="2" l="1"/>
  <c r="L266" i="2"/>
  <c r="E3" i="2" l="1"/>
  <c r="F3" i="2" s="1"/>
  <c r="S84" i="2"/>
  <c r="J85" i="2"/>
  <c r="J86" i="2"/>
  <c r="J87" i="2"/>
  <c r="J89" i="2"/>
  <c r="P77" i="2"/>
  <c r="P75" i="2"/>
  <c r="S71" i="2"/>
  <c r="S88" i="2"/>
  <c r="J70" i="2"/>
  <c r="J72" i="2"/>
  <c r="J73" i="2"/>
  <c r="J74" i="2"/>
  <c r="J75" i="2"/>
  <c r="J76" i="2"/>
  <c r="J77" i="2"/>
  <c r="J78" i="2"/>
  <c r="J79" i="2"/>
  <c r="J80" i="2"/>
  <c r="J81" i="2"/>
  <c r="J82" i="2"/>
  <c r="J83" i="2"/>
  <c r="M89" i="2" l="1"/>
  <c r="M87" i="2"/>
  <c r="M86" i="2"/>
  <c r="L89" i="2"/>
  <c r="L87" i="2"/>
  <c r="L86" i="2"/>
  <c r="L85" i="2"/>
  <c r="M85" i="2"/>
  <c r="M83" i="2"/>
  <c r="M82" i="2"/>
  <c r="M81" i="2"/>
  <c r="M80" i="2"/>
  <c r="M79" i="2"/>
  <c r="M78" i="2"/>
  <c r="M77" i="2"/>
  <c r="M76" i="2"/>
  <c r="M75" i="2"/>
  <c r="M74" i="2"/>
  <c r="M73" i="2"/>
  <c r="M72" i="2"/>
  <c r="M70" i="2"/>
  <c r="L83" i="2"/>
  <c r="L82" i="2"/>
  <c r="L81" i="2"/>
  <c r="L80" i="2"/>
  <c r="L79" i="2"/>
  <c r="L78" i="2"/>
  <c r="L77" i="2"/>
  <c r="L76" i="2"/>
  <c r="L75" i="2"/>
  <c r="L74" i="2"/>
  <c r="L73" i="2"/>
  <c r="L72" i="2"/>
  <c r="L70" i="2"/>
  <c r="S67" i="2"/>
  <c r="J68" i="2"/>
  <c r="J69" i="2"/>
  <c r="J90" i="2"/>
  <c r="J91" i="2"/>
  <c r="J92" i="2"/>
  <c r="J93" i="2"/>
  <c r="J94" i="2"/>
  <c r="J95" i="2"/>
  <c r="J96" i="2"/>
  <c r="E96" i="2"/>
  <c r="F96" i="2" s="1"/>
  <c r="E95" i="2"/>
  <c r="F95" i="2" s="1"/>
  <c r="E94" i="2"/>
  <c r="F94" i="2" s="1"/>
  <c r="E93" i="2"/>
  <c r="F93" i="2" s="1"/>
  <c r="E92" i="2"/>
  <c r="F92" i="2" s="1"/>
  <c r="E91" i="2"/>
  <c r="F91" i="2" s="1"/>
  <c r="E90" i="2"/>
  <c r="F90" i="2" s="1"/>
  <c r="E89" i="2"/>
  <c r="F89" i="2" s="1"/>
  <c r="E88" i="2"/>
  <c r="F88" i="2" s="1"/>
  <c r="S60" i="2"/>
  <c r="J61" i="2"/>
  <c r="J62" i="2"/>
  <c r="J63" i="2"/>
  <c r="J64" i="2"/>
  <c r="J65" i="2"/>
  <c r="M69" i="2" l="1"/>
  <c r="M68" i="2"/>
  <c r="L69" i="2"/>
  <c r="L68" i="2"/>
  <c r="M96" i="2"/>
  <c r="M95" i="2"/>
  <c r="M94" i="2"/>
  <c r="M93" i="2"/>
  <c r="M92" i="2"/>
  <c r="M91" i="2"/>
  <c r="M90" i="2"/>
  <c r="L96" i="2"/>
  <c r="L95" i="2"/>
  <c r="L94" i="2"/>
  <c r="L93" i="2"/>
  <c r="L92" i="2"/>
  <c r="L91" i="2"/>
  <c r="L90" i="2"/>
  <c r="M65" i="2"/>
  <c r="M63" i="2"/>
  <c r="L65" i="2"/>
  <c r="L64" i="2"/>
  <c r="L63" i="2"/>
  <c r="L62" i="2"/>
  <c r="L61" i="2"/>
  <c r="M64" i="2"/>
  <c r="M62" i="2"/>
  <c r="M61" i="2"/>
  <c r="E65" i="2" l="1"/>
  <c r="F65" i="2" s="1"/>
  <c r="E64" i="2"/>
  <c r="F64" i="2" s="1"/>
  <c r="E63" i="2"/>
  <c r="F63" i="2" s="1"/>
  <c r="E62" i="2"/>
  <c r="F62" i="2" s="1"/>
  <c r="E61" i="2"/>
  <c r="F61" i="2" s="1"/>
  <c r="E60" i="2"/>
  <c r="F60" i="2" s="1"/>
  <c r="S23" i="2" l="1"/>
  <c r="J24" i="2"/>
  <c r="J25" i="2"/>
  <c r="J26" i="2"/>
  <c r="J27" i="2"/>
  <c r="E27" i="2"/>
  <c r="F27" i="2" s="1"/>
  <c r="E26" i="2"/>
  <c r="F26" i="2" s="1"/>
  <c r="E25" i="2"/>
  <c r="F25" i="2" s="1"/>
  <c r="E24" i="2"/>
  <c r="F24" i="2" s="1"/>
  <c r="E23" i="2"/>
  <c r="F23" i="2" s="1"/>
  <c r="S16" i="2"/>
  <c r="J17" i="2"/>
  <c r="J18" i="2"/>
  <c r="J19" i="2"/>
  <c r="J20" i="2"/>
  <c r="J21" i="2"/>
  <c r="J22" i="2"/>
  <c r="E22" i="2"/>
  <c r="F22" i="2" s="1"/>
  <c r="E21" i="2"/>
  <c r="F21" i="2" s="1"/>
  <c r="E20" i="2"/>
  <c r="F20" i="2" s="1"/>
  <c r="E19" i="2"/>
  <c r="F19" i="2" s="1"/>
  <c r="E18" i="2"/>
  <c r="F18" i="2" s="1"/>
  <c r="E17" i="2"/>
  <c r="F17" i="2" s="1"/>
  <c r="E16" i="2"/>
  <c r="F16" i="2" s="1"/>
  <c r="J11" i="2"/>
  <c r="J12" i="2"/>
  <c r="J13" i="2"/>
  <c r="J14" i="2"/>
  <c r="J15" i="2"/>
  <c r="J30" i="2"/>
  <c r="J31" i="2"/>
  <c r="J32" i="2"/>
  <c r="J33" i="2"/>
  <c r="J34" i="2"/>
  <c r="J35" i="2"/>
  <c r="J38" i="2"/>
  <c r="J39" i="2"/>
  <c r="J41" i="2"/>
  <c r="J42" i="2"/>
  <c r="J43" i="2"/>
  <c r="J44" i="2"/>
  <c r="J45" i="2"/>
  <c r="J46" i="2"/>
  <c r="J47" i="2"/>
  <c r="J57" i="2"/>
  <c r="J58" i="2"/>
  <c r="J59" i="2"/>
  <c r="E59" i="2"/>
  <c r="F59" i="2" s="1"/>
  <c r="E58" i="2"/>
  <c r="F58" i="2" s="1"/>
  <c r="E57" i="2"/>
  <c r="F57" i="2" s="1"/>
  <c r="E56" i="2"/>
  <c r="F56" i="2" s="1"/>
  <c r="S40" i="2"/>
  <c r="E47" i="2"/>
  <c r="F47" i="2" s="1"/>
  <c r="P41" i="2"/>
  <c r="E46" i="2"/>
  <c r="F46" i="2" s="1"/>
  <c r="E45" i="2"/>
  <c r="F45" i="2" s="1"/>
  <c r="E44" i="2"/>
  <c r="F44" i="2" s="1"/>
  <c r="E43" i="2"/>
  <c r="F43" i="2" s="1"/>
  <c r="E42" i="2"/>
  <c r="F42" i="2" s="1"/>
  <c r="E41" i="2"/>
  <c r="F41" i="2" s="1"/>
  <c r="E40" i="2"/>
  <c r="F40" i="2" s="1"/>
  <c r="S37" i="2"/>
  <c r="E39" i="2"/>
  <c r="F39" i="2" s="1"/>
  <c r="E37" i="2"/>
  <c r="F37" i="2" s="1"/>
  <c r="E38" i="2"/>
  <c r="F38" i="2" s="1"/>
  <c r="E36" i="2"/>
  <c r="F36" i="2" s="1"/>
  <c r="S29" i="2"/>
  <c r="S30" i="2"/>
  <c r="E35" i="2"/>
  <c r="F35" i="2" s="1"/>
  <c r="E34" i="2"/>
  <c r="F34" i="2" s="1"/>
  <c r="E33" i="2"/>
  <c r="F33" i="2" s="1"/>
  <c r="E32" i="2"/>
  <c r="F32" i="2" s="1"/>
  <c r="E31" i="2"/>
  <c r="F31" i="2" s="1"/>
  <c r="E30" i="2"/>
  <c r="F30" i="2" s="1"/>
  <c r="E29" i="2"/>
  <c r="F29" i="2" s="1"/>
  <c r="E28" i="2"/>
  <c r="F28" i="2" s="1"/>
  <c r="E15" i="2"/>
  <c r="F15" i="2" s="1"/>
  <c r="E14" i="2"/>
  <c r="F14" i="2" s="1"/>
  <c r="E13" i="2"/>
  <c r="F13" i="2" s="1"/>
  <c r="E12" i="2"/>
  <c r="F12" i="2" s="1"/>
  <c r="E11" i="2"/>
  <c r="F11" i="2" s="1"/>
  <c r="E10" i="2"/>
  <c r="F10" i="2" s="1"/>
  <c r="J264" i="2"/>
  <c r="J265" i="2"/>
  <c r="E265" i="2"/>
  <c r="F265" i="2" s="1"/>
  <c r="P263" i="2"/>
  <c r="P262" i="2"/>
  <c r="J257" i="2"/>
  <c r="J258" i="2"/>
  <c r="J259" i="2"/>
  <c r="J260" i="2"/>
  <c r="J261" i="2"/>
  <c r="J262" i="2"/>
  <c r="J263" i="2"/>
  <c r="E264" i="2"/>
  <c r="F264" i="2" s="1"/>
  <c r="E263" i="2"/>
  <c r="F263" i="2" s="1"/>
  <c r="E262" i="2"/>
  <c r="F262" i="2" s="1"/>
  <c r="E261" i="2"/>
  <c r="F261" i="2" s="1"/>
  <c r="E260" i="2"/>
  <c r="F260" i="2" s="1"/>
  <c r="E259" i="2"/>
  <c r="F259" i="2" s="1"/>
  <c r="E258" i="2"/>
  <c r="F258" i="2" s="1"/>
  <c r="E257" i="2"/>
  <c r="F257" i="2" s="1"/>
  <c r="M26" i="2" l="1"/>
  <c r="L27" i="2"/>
  <c r="L26" i="2"/>
  <c r="L25" i="2"/>
  <c r="L24" i="2"/>
  <c r="M27" i="2"/>
  <c r="M25" i="2"/>
  <c r="M24" i="2"/>
  <c r="M22" i="2"/>
  <c r="M21" i="2"/>
  <c r="M20" i="2"/>
  <c r="M19" i="2"/>
  <c r="M18" i="2"/>
  <c r="M17" i="2"/>
  <c r="L22" i="2"/>
  <c r="L21" i="2"/>
  <c r="L20" i="2"/>
  <c r="L19" i="2"/>
  <c r="L18" i="2"/>
  <c r="L17" i="2"/>
  <c r="M59" i="2"/>
  <c r="M58" i="2"/>
  <c r="M57" i="2"/>
  <c r="M47" i="2"/>
  <c r="M46" i="2"/>
  <c r="M45" i="2"/>
  <c r="M44" i="2"/>
  <c r="M43" i="2"/>
  <c r="M42" i="2"/>
  <c r="M41" i="2"/>
  <c r="M39" i="2"/>
  <c r="M38" i="2"/>
  <c r="M35" i="2"/>
  <c r="M34" i="2"/>
  <c r="M33" i="2"/>
  <c r="M32" i="2"/>
  <c r="M31" i="2"/>
  <c r="M30" i="2"/>
  <c r="M15" i="2"/>
  <c r="M14" i="2"/>
  <c r="M13" i="2"/>
  <c r="M12" i="2"/>
  <c r="M11" i="2"/>
  <c r="L59" i="2"/>
  <c r="L58" i="2"/>
  <c r="L57" i="2"/>
  <c r="L47" i="2"/>
  <c r="L46" i="2"/>
  <c r="L45" i="2"/>
  <c r="L44" i="2"/>
  <c r="L43" i="2"/>
  <c r="L42" i="2"/>
  <c r="L41" i="2"/>
  <c r="L39" i="2"/>
  <c r="L38" i="2"/>
  <c r="L35" i="2"/>
  <c r="L34" i="2"/>
  <c r="L33" i="2"/>
  <c r="L32" i="2"/>
  <c r="L31" i="2"/>
  <c r="L30" i="2"/>
  <c r="L15" i="2"/>
  <c r="L14" i="2"/>
  <c r="L13" i="2"/>
  <c r="L12" i="2"/>
  <c r="L11" i="2"/>
  <c r="M265" i="2"/>
  <c r="M264" i="2"/>
  <c r="L265" i="2"/>
  <c r="L264" i="2"/>
  <c r="M263" i="2"/>
  <c r="M262" i="2"/>
  <c r="M261" i="2"/>
  <c r="M260" i="2"/>
  <c r="M259" i="2"/>
  <c r="M258" i="2"/>
  <c r="M257" i="2"/>
  <c r="L263" i="2"/>
  <c r="L262" i="2"/>
  <c r="L261" i="2"/>
  <c r="L260" i="2"/>
  <c r="L259" i="2"/>
  <c r="L258" i="2"/>
  <c r="L257" i="2"/>
  <c r="J255" i="2" l="1"/>
  <c r="J256" i="2"/>
  <c r="E256" i="2"/>
  <c r="F256" i="2" s="1"/>
  <c r="E255" i="2"/>
  <c r="F255" i="2" s="1"/>
  <c r="J253" i="2"/>
  <c r="J254" i="2"/>
  <c r="E254" i="2"/>
  <c r="F254" i="2" s="1"/>
  <c r="E253" i="2"/>
  <c r="F253" i="2" s="1"/>
  <c r="J220" i="2"/>
  <c r="J221" i="2"/>
  <c r="E220" i="2"/>
  <c r="F220" i="2" s="1"/>
  <c r="J248" i="2"/>
  <c r="J249" i="2"/>
  <c r="J250" i="2"/>
  <c r="J251" i="2"/>
  <c r="J252" i="2"/>
  <c r="P251" i="2"/>
  <c r="E248" i="2"/>
  <c r="F248" i="2" s="1"/>
  <c r="E252" i="2"/>
  <c r="F252" i="2" s="1"/>
  <c r="E251" i="2"/>
  <c r="F251" i="2" s="1"/>
  <c r="E250" i="2"/>
  <c r="F250" i="2" s="1"/>
  <c r="E249" i="2"/>
  <c r="F249" i="2" s="1"/>
  <c r="E247" i="2"/>
  <c r="F247" i="2" s="1"/>
  <c r="J247" i="2"/>
  <c r="E246" i="2"/>
  <c r="F246" i="2" s="1"/>
  <c r="E245" i="2"/>
  <c r="F245" i="2" s="1"/>
  <c r="E244" i="2"/>
  <c r="F244" i="2" s="1"/>
  <c r="J244" i="2"/>
  <c r="J245" i="2"/>
  <c r="J246" i="2"/>
  <c r="M256" i="2" l="1"/>
  <c r="M255" i="2"/>
  <c r="L256" i="2"/>
  <c r="L255" i="2"/>
  <c r="M254" i="2"/>
  <c r="M253" i="2"/>
  <c r="L254" i="2"/>
  <c r="L253" i="2"/>
  <c r="M221" i="2"/>
  <c r="M220" i="2"/>
  <c r="L221" i="2"/>
  <c r="L220" i="2"/>
  <c r="M252" i="2"/>
  <c r="M251" i="2"/>
  <c r="M250" i="2"/>
  <c r="M249" i="2"/>
  <c r="M248" i="2"/>
  <c r="L252" i="2"/>
  <c r="L251" i="2"/>
  <c r="L250" i="2"/>
  <c r="L249" i="2"/>
  <c r="L248" i="2"/>
  <c r="M247" i="2"/>
  <c r="L247" i="2"/>
  <c r="M246" i="2"/>
  <c r="M245" i="2"/>
  <c r="M244" i="2"/>
  <c r="L246" i="2"/>
  <c r="L245" i="2"/>
  <c r="L244" i="2"/>
  <c r="J242" i="2" l="1"/>
  <c r="L243" i="2"/>
  <c r="E243" i="2"/>
  <c r="F243" i="2" s="1"/>
  <c r="E242" i="2"/>
  <c r="F242" i="2" s="1"/>
  <c r="J243" i="2" l="1"/>
  <c r="M243" i="2"/>
  <c r="M242" i="2"/>
  <c r="L242" i="2"/>
  <c r="J239" i="2" l="1"/>
  <c r="J240" i="2"/>
  <c r="J241" i="2"/>
  <c r="E241" i="2"/>
  <c r="F241" i="2" s="1"/>
  <c r="E240" i="2"/>
  <c r="F240" i="2" s="1"/>
  <c r="E239" i="2"/>
  <c r="F239" i="2" s="1"/>
  <c r="S238" i="2"/>
  <c r="P240" i="2"/>
  <c r="J238" i="2"/>
  <c r="E238" i="2"/>
  <c r="F238" i="2" s="1"/>
  <c r="E235" i="2"/>
  <c r="F235" i="2" s="1"/>
  <c r="J234" i="2"/>
  <c r="J235" i="2"/>
  <c r="J236" i="2"/>
  <c r="J237" i="2"/>
  <c r="E234" i="2"/>
  <c r="F234" i="2" s="1"/>
  <c r="J232" i="2"/>
  <c r="J233" i="2"/>
  <c r="E237" i="2"/>
  <c r="F237" i="2" s="1"/>
  <c r="E236" i="2"/>
  <c r="F236" i="2" s="1"/>
  <c r="E233" i="2"/>
  <c r="F233" i="2" s="1"/>
  <c r="E232" i="2"/>
  <c r="F232" i="2" s="1"/>
  <c r="E231" i="2"/>
  <c r="F231" i="2" s="1"/>
  <c r="E230" i="2"/>
  <c r="F230" i="2" s="1"/>
  <c r="E229" i="2"/>
  <c r="F229" i="2" s="1"/>
  <c r="E228" i="2"/>
  <c r="F228" i="2" s="1"/>
  <c r="E227" i="2"/>
  <c r="F227" i="2" s="1"/>
  <c r="E226" i="2"/>
  <c r="F226" i="2" s="1"/>
  <c r="E225" i="2"/>
  <c r="F225" i="2" s="1"/>
  <c r="J166" i="2"/>
  <c r="J167" i="2"/>
  <c r="J168" i="2"/>
  <c r="J169" i="2"/>
  <c r="J170" i="2"/>
  <c r="J171" i="2"/>
  <c r="E168" i="2"/>
  <c r="F168" i="2" s="1"/>
  <c r="E167" i="2"/>
  <c r="F167" i="2" s="1"/>
  <c r="P233" i="2"/>
  <c r="M241" i="2" l="1"/>
  <c r="M240" i="2"/>
  <c r="M239" i="2"/>
  <c r="L241" i="2"/>
  <c r="L240" i="2"/>
  <c r="L239" i="2"/>
  <c r="M238" i="2"/>
  <c r="L238" i="2"/>
  <c r="M237" i="2"/>
  <c r="M236" i="2"/>
  <c r="M235" i="2"/>
  <c r="M234" i="2"/>
  <c r="L237" i="2"/>
  <c r="L236" i="2"/>
  <c r="L235" i="2"/>
  <c r="L234" i="2"/>
  <c r="M233" i="2"/>
  <c r="M232" i="2"/>
  <c r="L233" i="2"/>
  <c r="L232" i="2"/>
  <c r="M171" i="2"/>
  <c r="M170" i="2"/>
  <c r="M169" i="2"/>
  <c r="M167" i="2"/>
  <c r="L171" i="2"/>
  <c r="L170" i="2"/>
  <c r="L169" i="2"/>
  <c r="L168" i="2"/>
  <c r="L167" i="2"/>
  <c r="L166" i="2"/>
  <c r="M168" i="2"/>
  <c r="M166" i="2"/>
  <c r="J230" i="2"/>
  <c r="J231" i="2"/>
  <c r="E267" i="2"/>
  <c r="F267" i="2" s="1"/>
  <c r="M231" i="2" l="1"/>
  <c r="M230" i="2"/>
  <c r="L231" i="2"/>
  <c r="L230" i="2"/>
  <c r="J205" i="2"/>
  <c r="J206" i="2"/>
  <c r="E205" i="2"/>
  <c r="F205" i="2" s="1"/>
  <c r="M206" i="2" l="1"/>
  <c r="M205" i="2"/>
  <c r="L206" i="2"/>
  <c r="L205" i="2"/>
  <c r="J225" i="2"/>
  <c r="J226" i="2"/>
  <c r="J227" i="2"/>
  <c r="J228" i="2"/>
  <c r="J229" i="2"/>
  <c r="J223" i="2"/>
  <c r="J224" i="2"/>
  <c r="E224" i="2"/>
  <c r="F224" i="2" s="1"/>
  <c r="E223" i="2"/>
  <c r="F223" i="2" s="1"/>
  <c r="J209" i="2"/>
  <c r="J210" i="2"/>
  <c r="J211" i="2"/>
  <c r="J212" i="2"/>
  <c r="J213" i="2"/>
  <c r="J214" i="2"/>
  <c r="J215" i="2"/>
  <c r="J216" i="2"/>
  <c r="J217" i="2"/>
  <c r="J218" i="2"/>
  <c r="J219" i="2"/>
  <c r="E222" i="2"/>
  <c r="F222" i="2" s="1"/>
  <c r="E221" i="2"/>
  <c r="F221" i="2" s="1"/>
  <c r="E219" i="2"/>
  <c r="F219" i="2" s="1"/>
  <c r="E218" i="2"/>
  <c r="F218" i="2" s="1"/>
  <c r="E217" i="2"/>
  <c r="F217" i="2" s="1"/>
  <c r="E216" i="2"/>
  <c r="F216" i="2" s="1"/>
  <c r="E215" i="2"/>
  <c r="F215" i="2" s="1"/>
  <c r="E214" i="2"/>
  <c r="F214" i="2" s="1"/>
  <c r="E213" i="2"/>
  <c r="F213" i="2" s="1"/>
  <c r="E212" i="2"/>
  <c r="F212" i="2" s="1"/>
  <c r="E211" i="2"/>
  <c r="F211" i="2" s="1"/>
  <c r="E210" i="2"/>
  <c r="F210" i="2" s="1"/>
  <c r="E209" i="2"/>
  <c r="F209" i="2" s="1"/>
  <c r="J222" i="2" l="1"/>
  <c r="M229" i="2"/>
  <c r="M228" i="2"/>
  <c r="M227" i="2"/>
  <c r="M226" i="2"/>
  <c r="M225" i="2"/>
  <c r="L229" i="2"/>
  <c r="L228" i="2"/>
  <c r="L227" i="2"/>
  <c r="L226" i="2"/>
  <c r="L225" i="2"/>
  <c r="M222" i="2"/>
  <c r="L224" i="2"/>
  <c r="L223" i="2"/>
  <c r="L222" i="2"/>
  <c r="M224" i="2"/>
  <c r="M223" i="2"/>
  <c r="M219" i="2"/>
  <c r="M218" i="2"/>
  <c r="M217" i="2"/>
  <c r="M216" i="2"/>
  <c r="M215" i="2"/>
  <c r="M214" i="2"/>
  <c r="M213" i="2"/>
  <c r="M212" i="2"/>
  <c r="M211" i="2"/>
  <c r="M210" i="2"/>
  <c r="M209" i="2"/>
  <c r="L219" i="2"/>
  <c r="L218" i="2"/>
  <c r="L217" i="2"/>
  <c r="L216" i="2"/>
  <c r="L215" i="2"/>
  <c r="L214" i="2"/>
  <c r="L213" i="2"/>
  <c r="L212" i="2"/>
  <c r="L211" i="2"/>
  <c r="L210" i="2"/>
  <c r="L209" i="2"/>
  <c r="J208" i="2" l="1"/>
  <c r="E208" i="2"/>
  <c r="F208" i="2" s="1"/>
  <c r="J172" i="2"/>
  <c r="J173" i="2"/>
  <c r="J174" i="2"/>
  <c r="J175" i="2"/>
  <c r="J207" i="2"/>
  <c r="E207" i="2"/>
  <c r="F207" i="2" s="1"/>
  <c r="P207" i="2"/>
  <c r="P206" i="2"/>
  <c r="M204" i="2"/>
  <c r="E204" i="2"/>
  <c r="F204" i="2" s="1"/>
  <c r="S197" i="2"/>
  <c r="J196" i="2"/>
  <c r="J197" i="2"/>
  <c r="J198" i="2"/>
  <c r="J199" i="2"/>
  <c r="J200" i="2"/>
  <c r="E198" i="2"/>
  <c r="F198" i="2" s="1"/>
  <c r="J178" i="2"/>
  <c r="J179" i="2"/>
  <c r="J180" i="2"/>
  <c r="J181" i="2"/>
  <c r="J182" i="2"/>
  <c r="J183" i="2"/>
  <c r="J184" i="2"/>
  <c r="J185" i="2"/>
  <c r="J186" i="2"/>
  <c r="J187" i="2"/>
  <c r="J188" i="2"/>
  <c r="J189" i="2"/>
  <c r="J190" i="2"/>
  <c r="J191" i="2"/>
  <c r="J192" i="2"/>
  <c r="J193" i="2"/>
  <c r="J194" i="2"/>
  <c r="J195" i="2"/>
  <c r="J201" i="2"/>
  <c r="J202" i="2"/>
  <c r="J203" i="2"/>
  <c r="E266" i="2"/>
  <c r="F266" i="2" s="1"/>
  <c r="E206" i="2"/>
  <c r="F206" i="2" s="1"/>
  <c r="E203" i="2"/>
  <c r="F203" i="2" s="1"/>
  <c r="E202" i="2"/>
  <c r="F202" i="2" s="1"/>
  <c r="E201" i="2"/>
  <c r="F201" i="2" s="1"/>
  <c r="E200" i="2"/>
  <c r="F200" i="2" s="1"/>
  <c r="E199" i="2"/>
  <c r="F199" i="2" s="1"/>
  <c r="E197" i="2"/>
  <c r="F197" i="2" s="1"/>
  <c r="E196" i="2"/>
  <c r="F196" i="2" s="1"/>
  <c r="E195" i="2"/>
  <c r="F195" i="2" s="1"/>
  <c r="E194" i="2"/>
  <c r="F194" i="2" s="1"/>
  <c r="E193" i="2"/>
  <c r="F193" i="2" s="1"/>
  <c r="E192" i="2"/>
  <c r="F192" i="2" s="1"/>
  <c r="E191" i="2"/>
  <c r="F191" i="2" s="1"/>
  <c r="E190" i="2"/>
  <c r="F190" i="2" s="1"/>
  <c r="E189" i="2"/>
  <c r="F189" i="2" s="1"/>
  <c r="E188" i="2"/>
  <c r="F188" i="2" s="1"/>
  <c r="E187" i="2"/>
  <c r="F187" i="2" s="1"/>
  <c r="E186" i="2"/>
  <c r="F186" i="2" s="1"/>
  <c r="E185" i="2"/>
  <c r="F185" i="2" s="1"/>
  <c r="E184" i="2"/>
  <c r="F184" i="2" s="1"/>
  <c r="E183" i="2"/>
  <c r="F183" i="2" s="1"/>
  <c r="E182" i="2"/>
  <c r="F182" i="2" s="1"/>
  <c r="E181" i="2"/>
  <c r="F181" i="2" s="1"/>
  <c r="E180" i="2"/>
  <c r="F180" i="2" s="1"/>
  <c r="E179" i="2"/>
  <c r="F179" i="2" s="1"/>
  <c r="E178" i="2"/>
  <c r="F178" i="2" s="1"/>
  <c r="L208" i="2" l="1"/>
  <c r="M208" i="2"/>
  <c r="M175" i="2"/>
  <c r="M174" i="2"/>
  <c r="M173" i="2"/>
  <c r="M172" i="2"/>
  <c r="L175" i="2"/>
  <c r="L174" i="2"/>
  <c r="L173" i="2"/>
  <c r="L172" i="2"/>
  <c r="M207" i="2"/>
  <c r="L207" i="2"/>
  <c r="J204" i="2"/>
  <c r="L204" i="2"/>
  <c r="M199" i="2"/>
  <c r="M198" i="2"/>
  <c r="L199" i="2"/>
  <c r="L198" i="2"/>
  <c r="M203" i="2"/>
  <c r="M202" i="2"/>
  <c r="M201" i="2"/>
  <c r="M200" i="2"/>
  <c r="M197" i="2"/>
  <c r="M196" i="2"/>
  <c r="M195" i="2"/>
  <c r="M194" i="2"/>
  <c r="M193" i="2"/>
  <c r="M192" i="2"/>
  <c r="M191" i="2"/>
  <c r="M190" i="2"/>
  <c r="M189" i="2"/>
  <c r="M188" i="2"/>
  <c r="M187" i="2"/>
  <c r="M186" i="2"/>
  <c r="M185" i="2"/>
  <c r="M184" i="2"/>
  <c r="M183" i="2"/>
  <c r="M182" i="2"/>
  <c r="M181" i="2"/>
  <c r="M180" i="2"/>
  <c r="M179" i="2"/>
  <c r="M178" i="2"/>
  <c r="L203" i="2"/>
  <c r="L202" i="2"/>
  <c r="L201" i="2"/>
  <c r="L200" i="2"/>
  <c r="L197" i="2"/>
  <c r="L196" i="2"/>
  <c r="L195" i="2"/>
  <c r="L194" i="2"/>
  <c r="L193" i="2"/>
  <c r="L192" i="2"/>
  <c r="L191" i="2"/>
  <c r="L190" i="2"/>
  <c r="L189" i="2"/>
  <c r="L188" i="2"/>
  <c r="L187" i="2"/>
  <c r="L186" i="2"/>
  <c r="L185" i="2"/>
  <c r="L184" i="2"/>
  <c r="L183" i="2"/>
  <c r="L182" i="2"/>
  <c r="L181" i="2"/>
  <c r="L180" i="2"/>
  <c r="L179" i="2"/>
  <c r="L178" i="2"/>
  <c r="J176" i="2" l="1"/>
  <c r="J177" i="2"/>
  <c r="E177" i="2"/>
  <c r="F177" i="2" s="1"/>
  <c r="E176" i="2"/>
  <c r="F176" i="2" s="1"/>
  <c r="E175" i="2"/>
  <c r="F175" i="2" s="1"/>
  <c r="E174" i="2"/>
  <c r="F174" i="2" s="1"/>
  <c r="J157" i="2"/>
  <c r="J158" i="2"/>
  <c r="J159" i="2"/>
  <c r="J160" i="2"/>
  <c r="J161" i="2"/>
  <c r="J162" i="2"/>
  <c r="J163" i="2"/>
  <c r="J164" i="2"/>
  <c r="J165" i="2"/>
  <c r="E173" i="2"/>
  <c r="F173" i="2" s="1"/>
  <c r="E172" i="2"/>
  <c r="F172" i="2" s="1"/>
  <c r="E171" i="2"/>
  <c r="F171" i="2" s="1"/>
  <c r="E170" i="2"/>
  <c r="F170" i="2" s="1"/>
  <c r="E169" i="2"/>
  <c r="F169" i="2" s="1"/>
  <c r="E166" i="2"/>
  <c r="F166" i="2" s="1"/>
  <c r="E165" i="2"/>
  <c r="F165" i="2" s="1"/>
  <c r="E164" i="2"/>
  <c r="F164" i="2" s="1"/>
  <c r="E163" i="2"/>
  <c r="F163" i="2" s="1"/>
  <c r="E162" i="2"/>
  <c r="F162" i="2" s="1"/>
  <c r="E161" i="2"/>
  <c r="F161" i="2" s="1"/>
  <c r="E160" i="2"/>
  <c r="F160" i="2" s="1"/>
  <c r="E159" i="2"/>
  <c r="F159" i="2" s="1"/>
  <c r="M177" i="2" l="1"/>
  <c r="M176" i="2"/>
  <c r="L177" i="2"/>
  <c r="L176" i="2"/>
  <c r="M165" i="2"/>
  <c r="M164" i="2"/>
  <c r="M163" i="2"/>
  <c r="M162" i="2"/>
  <c r="M161" i="2"/>
  <c r="M160" i="2"/>
  <c r="M159" i="2"/>
  <c r="M158" i="2"/>
  <c r="M157" i="2"/>
  <c r="L165" i="2"/>
  <c r="L164" i="2"/>
  <c r="L163" i="2"/>
  <c r="L162" i="2"/>
  <c r="L161" i="2"/>
  <c r="L160" i="2"/>
  <c r="L159" i="2"/>
  <c r="L158" i="2"/>
  <c r="L157" i="2"/>
  <c r="J151" i="2"/>
  <c r="J153" i="2"/>
  <c r="J154" i="2"/>
  <c r="J155" i="2"/>
  <c r="J156" i="2"/>
  <c r="J152" i="2"/>
  <c r="E158" i="2"/>
  <c r="F158" i="2" s="1"/>
  <c r="E157" i="2"/>
  <c r="F157" i="2" s="1"/>
  <c r="E156" i="2"/>
  <c r="F156" i="2" s="1"/>
  <c r="E155" i="2"/>
  <c r="F155" i="2" s="1"/>
  <c r="E154" i="2"/>
  <c r="F154" i="2" s="1"/>
  <c r="E153" i="2"/>
  <c r="F153" i="2" s="1"/>
  <c r="E152" i="2"/>
  <c r="F152" i="2" s="1"/>
  <c r="E151" i="2"/>
  <c r="F151" i="2" s="1"/>
  <c r="E150" i="2"/>
  <c r="F150" i="2" s="1"/>
  <c r="M156" i="2" l="1"/>
  <c r="M155" i="2"/>
  <c r="M154" i="2"/>
  <c r="M153" i="2"/>
  <c r="M152" i="2"/>
  <c r="M151" i="2"/>
  <c r="L156" i="2"/>
  <c r="L155" i="2"/>
  <c r="L154" i="2"/>
  <c r="L153" i="2"/>
  <c r="L152" i="2"/>
  <c r="L151" i="2"/>
  <c r="C104" i="34"/>
  <c r="E104" i="34" s="1"/>
  <c r="D104" i="34"/>
  <c r="C105" i="34"/>
  <c r="D105" i="34"/>
  <c r="C106" i="34"/>
  <c r="D106" i="34"/>
  <c r="C107" i="34"/>
  <c r="D107" i="34"/>
  <c r="C108" i="34"/>
  <c r="E108" i="34" s="1"/>
  <c r="D108" i="34"/>
  <c r="C109" i="34"/>
  <c r="D109" i="34"/>
  <c r="C110" i="34"/>
  <c r="D110" i="34"/>
  <c r="C111" i="34"/>
  <c r="D111" i="34"/>
  <c r="C112" i="34"/>
  <c r="E112" i="34" s="1"/>
  <c r="D112" i="34"/>
  <c r="C103" i="34"/>
  <c r="C102" i="34"/>
  <c r="C101" i="34"/>
  <c r="C100" i="34"/>
  <c r="C99" i="34"/>
  <c r="C98" i="34"/>
  <c r="C97" i="34"/>
  <c r="C96" i="34"/>
  <c r="C95" i="34"/>
  <c r="C94" i="34"/>
  <c r="C93" i="34"/>
  <c r="C92" i="34"/>
  <c r="C91" i="34"/>
  <c r="C90" i="34"/>
  <c r="C89" i="34"/>
  <c r="C88" i="34"/>
  <c r="C87" i="34"/>
  <c r="C86" i="34"/>
  <c r="C85" i="34"/>
  <c r="C84" i="34"/>
  <c r="C83" i="34"/>
  <c r="C82" i="34"/>
  <c r="C81" i="34"/>
  <c r="C80" i="34"/>
  <c r="C79" i="34"/>
  <c r="C78" i="34"/>
  <c r="C77" i="34"/>
  <c r="C76" i="34"/>
  <c r="C75" i="34"/>
  <c r="C74" i="34"/>
  <c r="C73" i="34"/>
  <c r="C72" i="34"/>
  <c r="C71" i="34"/>
  <c r="C70" i="34"/>
  <c r="C69" i="34"/>
  <c r="C68" i="34"/>
  <c r="C67" i="34"/>
  <c r="C66" i="34"/>
  <c r="C65" i="34"/>
  <c r="C64" i="34"/>
  <c r="C63" i="34"/>
  <c r="C62" i="34"/>
  <c r="C61" i="34"/>
  <c r="C60" i="34"/>
  <c r="C59" i="34"/>
  <c r="C58" i="34"/>
  <c r="C57" i="34"/>
  <c r="C56" i="34"/>
  <c r="C55" i="34"/>
  <c r="C54" i="34"/>
  <c r="C53" i="34"/>
  <c r="C52" i="34"/>
  <c r="C51" i="34"/>
  <c r="C50" i="34"/>
  <c r="C49" i="34"/>
  <c r="C48" i="34"/>
  <c r="C47" i="34"/>
  <c r="C46" i="34"/>
  <c r="C45" i="34"/>
  <c r="C44" i="34"/>
  <c r="C43" i="34"/>
  <c r="C42" i="34"/>
  <c r="C41" i="34"/>
  <c r="C40" i="34"/>
  <c r="C39" i="34"/>
  <c r="C38" i="34"/>
  <c r="C37" i="34"/>
  <c r="C36" i="34"/>
  <c r="C35" i="34"/>
  <c r="C34" i="34"/>
  <c r="C33" i="34"/>
  <c r="C32" i="34"/>
  <c r="C31" i="34"/>
  <c r="C30" i="34"/>
  <c r="C29" i="34"/>
  <c r="C28" i="34"/>
  <c r="C27" i="34"/>
  <c r="C26" i="34"/>
  <c r="C25" i="34"/>
  <c r="C24" i="34"/>
  <c r="C23" i="34"/>
  <c r="C22" i="34"/>
  <c r="C21" i="34"/>
  <c r="C20" i="34"/>
  <c r="C19" i="34"/>
  <c r="C18" i="34"/>
  <c r="C17" i="34"/>
  <c r="C16" i="34"/>
  <c r="C15" i="34"/>
  <c r="C14" i="34"/>
  <c r="C13" i="34"/>
  <c r="C12" i="34"/>
  <c r="C11" i="34"/>
  <c r="C10" i="34"/>
  <c r="C9" i="34"/>
  <c r="C8" i="34"/>
  <c r="C7" i="34"/>
  <c r="C6" i="34"/>
  <c r="S382" i="2"/>
  <c r="J383" i="2"/>
  <c r="J384" i="2"/>
  <c r="J385" i="2"/>
  <c r="J386" i="2"/>
  <c r="P384" i="2"/>
  <c r="P383" i="2"/>
  <c r="E384" i="2"/>
  <c r="F384" i="2" s="1"/>
  <c r="E386" i="2"/>
  <c r="F386" i="2" s="1"/>
  <c r="E385" i="2"/>
  <c r="F385" i="2" s="1"/>
  <c r="E383" i="2"/>
  <c r="F383" i="2" s="1"/>
  <c r="E382" i="2"/>
  <c r="F382" i="2" s="1"/>
  <c r="S414" i="2"/>
  <c r="J414" i="2"/>
  <c r="E414" i="2"/>
  <c r="F414" i="2" s="1"/>
  <c r="S413" i="2"/>
  <c r="J410" i="2"/>
  <c r="J411" i="2"/>
  <c r="J412" i="2"/>
  <c r="J413" i="2"/>
  <c r="E413" i="2"/>
  <c r="F413" i="2" s="1"/>
  <c r="E412" i="2"/>
  <c r="F412" i="2" s="1"/>
  <c r="E411" i="2"/>
  <c r="F411" i="2" s="1"/>
  <c r="E410" i="2"/>
  <c r="F410" i="2" s="1"/>
  <c r="J842" i="2"/>
  <c r="J843" i="2"/>
  <c r="J844" i="2"/>
  <c r="J845" i="2"/>
  <c r="J846" i="2"/>
  <c r="S841" i="2"/>
  <c r="E846" i="2"/>
  <c r="F846" i="2" s="1"/>
  <c r="E111" i="34" l="1"/>
  <c r="E109" i="34"/>
  <c r="E107" i="34"/>
  <c r="E110" i="34"/>
  <c r="E106" i="34"/>
  <c r="F110" i="34"/>
  <c r="F108" i="34"/>
  <c r="F112" i="34"/>
  <c r="F109" i="34"/>
  <c r="F111" i="34"/>
  <c r="F107" i="34"/>
  <c r="F104" i="34"/>
  <c r="F106" i="34"/>
  <c r="M386" i="2"/>
  <c r="M385" i="2"/>
  <c r="M384" i="2"/>
  <c r="M383" i="2"/>
  <c r="L386" i="2"/>
  <c r="L385" i="2"/>
  <c r="L384" i="2"/>
  <c r="L383" i="2"/>
  <c r="L414" i="2"/>
  <c r="M414" i="2"/>
  <c r="M413" i="2"/>
  <c r="M412" i="2"/>
  <c r="M411" i="2"/>
  <c r="M410" i="2"/>
  <c r="L413" i="2"/>
  <c r="L412" i="2"/>
  <c r="L411" i="2"/>
  <c r="L410" i="2"/>
  <c r="M846" i="2"/>
  <c r="M845" i="2"/>
  <c r="M844" i="2"/>
  <c r="M843" i="2"/>
  <c r="M842" i="2"/>
  <c r="L846" i="2"/>
  <c r="L845" i="2"/>
  <c r="L844" i="2"/>
  <c r="L843" i="2"/>
  <c r="L842" i="2"/>
  <c r="P842" i="2"/>
  <c r="E845" i="2"/>
  <c r="F845" i="2" s="1"/>
  <c r="E844" i="2"/>
  <c r="F844" i="2" s="1"/>
  <c r="E843" i="2"/>
  <c r="F843" i="2" s="1"/>
  <c r="E842" i="2"/>
  <c r="F842" i="2" s="1"/>
  <c r="E841" i="2"/>
  <c r="F841" i="2" s="1"/>
  <c r="E103" i="34" l="1"/>
  <c r="E95" i="34"/>
  <c r="E93" i="34"/>
  <c r="E91" i="34"/>
  <c r="E89" i="34"/>
  <c r="E87" i="34"/>
  <c r="E85" i="34"/>
  <c r="E83" i="34"/>
  <c r="E79" i="34"/>
  <c r="E75" i="34"/>
  <c r="E73" i="34"/>
  <c r="E71" i="34"/>
  <c r="E69" i="34"/>
  <c r="E67" i="34"/>
  <c r="E65" i="34"/>
  <c r="E63" i="34"/>
  <c r="E61" i="34"/>
  <c r="E59" i="34"/>
  <c r="E53" i="34"/>
  <c r="E51" i="34"/>
  <c r="E49" i="34"/>
  <c r="E47" i="34"/>
  <c r="E45" i="34"/>
  <c r="E43" i="34"/>
  <c r="E41" i="34"/>
  <c r="E39" i="34"/>
  <c r="E37" i="34"/>
  <c r="E35" i="34"/>
  <c r="E33" i="34"/>
  <c r="E31" i="34"/>
  <c r="E29" i="34"/>
  <c r="E27" i="34"/>
  <c r="E25" i="34"/>
  <c r="E23" i="34"/>
  <c r="E21" i="34"/>
  <c r="E17" i="34"/>
  <c r="E15" i="34"/>
  <c r="E13" i="34"/>
  <c r="E11" i="34"/>
  <c r="E9" i="34"/>
  <c r="E7" i="34"/>
  <c r="D103" i="34"/>
  <c r="F103" i="34"/>
  <c r="D102" i="34"/>
  <c r="D101" i="34"/>
  <c r="D100" i="34"/>
  <c r="D99" i="34"/>
  <c r="D98" i="34"/>
  <c r="D97" i="34"/>
  <c r="D96" i="34"/>
  <c r="D95" i="34"/>
  <c r="F95" i="34"/>
  <c r="D94" i="34"/>
  <c r="F94" i="34"/>
  <c r="D93" i="34"/>
  <c r="F93" i="34"/>
  <c r="D92" i="34"/>
  <c r="F92" i="34"/>
  <c r="D91" i="34"/>
  <c r="F91" i="34"/>
  <c r="D90" i="34"/>
  <c r="F90" i="34"/>
  <c r="D89" i="34"/>
  <c r="F89" i="34"/>
  <c r="D88" i="34"/>
  <c r="F88" i="34"/>
  <c r="D87" i="34"/>
  <c r="F87" i="34"/>
  <c r="D86" i="34"/>
  <c r="F86" i="34"/>
  <c r="D85" i="34"/>
  <c r="F85" i="34"/>
  <c r="D84" i="34"/>
  <c r="F84" i="34"/>
  <c r="D83" i="34"/>
  <c r="F83" i="34"/>
  <c r="D82" i="34"/>
  <c r="F82" i="34"/>
  <c r="D81" i="34"/>
  <c r="D80" i="34"/>
  <c r="F80" i="34"/>
  <c r="D79" i="34"/>
  <c r="F79" i="34"/>
  <c r="D78" i="34"/>
  <c r="D77" i="34"/>
  <c r="D76" i="34"/>
  <c r="F76" i="34"/>
  <c r="D75" i="34"/>
  <c r="F75" i="34"/>
  <c r="D74" i="34"/>
  <c r="F74" i="34"/>
  <c r="D73" i="34"/>
  <c r="F73" i="34"/>
  <c r="D72" i="34"/>
  <c r="D71" i="34"/>
  <c r="F71" i="34"/>
  <c r="D70" i="34"/>
  <c r="D69" i="34"/>
  <c r="F69" i="34"/>
  <c r="D68" i="34"/>
  <c r="F68" i="34"/>
  <c r="D67" i="34"/>
  <c r="F67" i="34"/>
  <c r="D66" i="34"/>
  <c r="D65" i="34"/>
  <c r="F65" i="34"/>
  <c r="D64" i="34"/>
  <c r="F64" i="34"/>
  <c r="D63" i="34"/>
  <c r="F63" i="34"/>
  <c r="D62" i="34"/>
  <c r="F62" i="34"/>
  <c r="D61" i="34"/>
  <c r="F61" i="34"/>
  <c r="D60" i="34"/>
  <c r="D59" i="34"/>
  <c r="F59" i="34"/>
  <c r="D58" i="34"/>
  <c r="F58" i="34"/>
  <c r="D57" i="34"/>
  <c r="F57" i="34"/>
  <c r="D56" i="34"/>
  <c r="F56" i="34"/>
  <c r="D55" i="34"/>
  <c r="D54" i="34"/>
  <c r="F54" i="34"/>
  <c r="D53" i="34"/>
  <c r="F53" i="34"/>
  <c r="D52" i="34"/>
  <c r="D51" i="34"/>
  <c r="F51" i="34"/>
  <c r="D50" i="34"/>
  <c r="D49" i="34"/>
  <c r="F49" i="34"/>
  <c r="D48" i="34"/>
  <c r="F48" i="34"/>
  <c r="D47" i="34"/>
  <c r="F47" i="34"/>
  <c r="D46" i="34"/>
  <c r="F46" i="34"/>
  <c r="D45" i="34"/>
  <c r="F45" i="34"/>
  <c r="D44" i="34"/>
  <c r="D43" i="34"/>
  <c r="F43" i="34"/>
  <c r="D42" i="34"/>
  <c r="D41" i="34"/>
  <c r="F41" i="34"/>
  <c r="D40" i="34"/>
  <c r="D39" i="34"/>
  <c r="F39" i="34"/>
  <c r="D38" i="34"/>
  <c r="D37" i="34"/>
  <c r="F37" i="34"/>
  <c r="D36" i="34"/>
  <c r="D35" i="34"/>
  <c r="F35" i="34"/>
  <c r="D34" i="34"/>
  <c r="F34" i="34"/>
  <c r="D33" i="34"/>
  <c r="F33" i="34"/>
  <c r="D32" i="34"/>
  <c r="F32" i="34"/>
  <c r="D31" i="34"/>
  <c r="F31" i="34"/>
  <c r="D30" i="34"/>
  <c r="D29" i="34"/>
  <c r="F29" i="34"/>
  <c r="D28" i="34"/>
  <c r="F28" i="34"/>
  <c r="D27" i="34"/>
  <c r="F27" i="34"/>
  <c r="D26" i="34"/>
  <c r="F26" i="34"/>
  <c r="D25" i="34"/>
  <c r="F25" i="34"/>
  <c r="D24" i="34"/>
  <c r="D23" i="34"/>
  <c r="F23" i="34"/>
  <c r="D22" i="34"/>
  <c r="F22" i="34"/>
  <c r="D21" i="34"/>
  <c r="D20" i="34"/>
  <c r="F20" i="34"/>
  <c r="D19" i="34"/>
  <c r="D18" i="34"/>
  <c r="F18" i="34"/>
  <c r="D17" i="34"/>
  <c r="F17" i="34"/>
  <c r="D16" i="34"/>
  <c r="F16" i="34"/>
  <c r="D15" i="34"/>
  <c r="F15" i="34"/>
  <c r="D14" i="34"/>
  <c r="F14" i="34"/>
  <c r="D13" i="34"/>
  <c r="F13" i="34"/>
  <c r="D12" i="34"/>
  <c r="F12" i="34"/>
  <c r="D11" i="34"/>
  <c r="F11" i="34"/>
  <c r="D10" i="34"/>
  <c r="D9" i="34"/>
  <c r="F9" i="34"/>
  <c r="D8" i="34"/>
  <c r="F8" i="34"/>
  <c r="D7" i="34"/>
  <c r="F7" i="34"/>
  <c r="D6" i="34"/>
  <c r="F6" i="34"/>
  <c r="F60" i="34"/>
  <c r="F19" i="34"/>
  <c r="F10" i="34"/>
  <c r="F55" i="34"/>
  <c r="F66" i="34"/>
  <c r="F97" i="34"/>
  <c r="F24" i="34"/>
  <c r="F44" i="34"/>
  <c r="F36" i="34"/>
  <c r="F40" i="34"/>
  <c r="F99" i="34"/>
  <c r="F30" i="34"/>
  <c r="F78" i="34"/>
  <c r="F50" i="34"/>
  <c r="F70" i="34"/>
  <c r="E19" i="34"/>
  <c r="E55" i="34"/>
  <c r="E97" i="34"/>
  <c r="E99" i="34"/>
  <c r="E77" i="34"/>
  <c r="S405" i="2"/>
  <c r="S406" i="2"/>
  <c r="M406" i="2"/>
  <c r="M407" i="2"/>
  <c r="M408" i="2"/>
  <c r="M409" i="2"/>
  <c r="E406" i="2"/>
  <c r="F406" i="2" s="1"/>
  <c r="E407" i="2"/>
  <c r="F407" i="2" s="1"/>
  <c r="E408" i="2"/>
  <c r="F408" i="2" s="1"/>
  <c r="E409" i="2"/>
  <c r="F409" i="2" s="1"/>
  <c r="E405" i="2"/>
  <c r="F405" i="2" s="1"/>
  <c r="S398" i="2"/>
  <c r="J399" i="2"/>
  <c r="J400" i="2"/>
  <c r="J401" i="2"/>
  <c r="J402" i="2"/>
  <c r="J403" i="2"/>
  <c r="J404" i="2"/>
  <c r="E404" i="2"/>
  <c r="F404" i="2" s="1"/>
  <c r="E403" i="2"/>
  <c r="F403" i="2" s="1"/>
  <c r="E402" i="2"/>
  <c r="F402" i="2" s="1"/>
  <c r="E401" i="2"/>
  <c r="F401" i="2" s="1"/>
  <c r="E400" i="2"/>
  <c r="F400" i="2" s="1"/>
  <c r="E399" i="2"/>
  <c r="F399" i="2" s="1"/>
  <c r="E398" i="2"/>
  <c r="F398" i="2" s="1"/>
  <c r="J392" i="2"/>
  <c r="J393" i="2"/>
  <c r="J394" i="2"/>
  <c r="J395" i="2"/>
  <c r="J396" i="2"/>
  <c r="J397" i="2"/>
  <c r="E397" i="2"/>
  <c r="F397" i="2" s="1"/>
  <c r="E396" i="2"/>
  <c r="F396" i="2" s="1"/>
  <c r="E395" i="2"/>
  <c r="F395" i="2" s="1"/>
  <c r="E394" i="2"/>
  <c r="F394" i="2" s="1"/>
  <c r="E393" i="2"/>
  <c r="F393" i="2" s="1"/>
  <c r="E392" i="2"/>
  <c r="F392" i="2" s="1"/>
  <c r="E391" i="2"/>
  <c r="F391" i="2" s="1"/>
  <c r="D5" i="34"/>
  <c r="C5" i="34"/>
  <c r="S589" i="2"/>
  <c r="E594" i="2"/>
  <c r="F594" i="2" s="1"/>
  <c r="E593" i="2"/>
  <c r="F593" i="2" s="1"/>
  <c r="E592" i="2"/>
  <c r="F592" i="2" s="1"/>
  <c r="E591" i="2"/>
  <c r="F591" i="2" s="1"/>
  <c r="J588" i="2"/>
  <c r="J590" i="2"/>
  <c r="J594" i="2"/>
  <c r="J602" i="2"/>
  <c r="E590" i="2"/>
  <c r="F590" i="2" s="1"/>
  <c r="E589" i="2"/>
  <c r="F589" i="2" s="1"/>
  <c r="S585" i="2"/>
  <c r="J580" i="2"/>
  <c r="J581" i="2"/>
  <c r="J582" i="2"/>
  <c r="J583" i="2"/>
  <c r="J584" i="2"/>
  <c r="J585" i="2"/>
  <c r="J586" i="2"/>
  <c r="J587" i="2"/>
  <c r="E588" i="2"/>
  <c r="F588" i="2" s="1"/>
  <c r="E587" i="2"/>
  <c r="F587" i="2" s="1"/>
  <c r="E586" i="2"/>
  <c r="F586" i="2" s="1"/>
  <c r="E585" i="2"/>
  <c r="F585" i="2" s="1"/>
  <c r="E584" i="2"/>
  <c r="F584" i="2" s="1"/>
  <c r="E583" i="2"/>
  <c r="F583" i="2" s="1"/>
  <c r="E582" i="2"/>
  <c r="F582" i="2" s="1"/>
  <c r="E581" i="2"/>
  <c r="F581" i="2" s="1"/>
  <c r="E580" i="2"/>
  <c r="F580" i="2" s="1"/>
  <c r="E579" i="2"/>
  <c r="F579" i="2" s="1"/>
  <c r="F100" i="34" l="1"/>
  <c r="F81" i="34"/>
  <c r="E57" i="34"/>
  <c r="E81" i="34"/>
  <c r="F102" i="34"/>
  <c r="F105" i="34"/>
  <c r="F42" i="34"/>
  <c r="F21" i="34"/>
  <c r="E101" i="34"/>
  <c r="E105" i="34"/>
  <c r="F38" i="34"/>
  <c r="F52" i="34"/>
  <c r="F72" i="34"/>
  <c r="F98" i="34"/>
  <c r="F77" i="34"/>
  <c r="F96" i="34"/>
  <c r="F101" i="34"/>
  <c r="F5" i="34"/>
  <c r="E5" i="34"/>
  <c r="E6" i="34"/>
  <c r="E8" i="34"/>
  <c r="E10" i="34"/>
  <c r="E12" i="34"/>
  <c r="E14" i="34"/>
  <c r="E16" i="34"/>
  <c r="E18" i="34"/>
  <c r="E20" i="34"/>
  <c r="E22" i="34"/>
  <c r="E24" i="34"/>
  <c r="E26" i="34"/>
  <c r="E28" i="34"/>
  <c r="E30" i="34"/>
  <c r="E32" i="34"/>
  <c r="E34" i="34"/>
  <c r="E36" i="34"/>
  <c r="E38" i="34"/>
  <c r="E40" i="34"/>
  <c r="E42" i="34"/>
  <c r="E44" i="34"/>
  <c r="E46" i="34"/>
  <c r="E48" i="34"/>
  <c r="E50" i="34"/>
  <c r="E52" i="34"/>
  <c r="E54" i="34"/>
  <c r="E56" i="34"/>
  <c r="E58" i="34"/>
  <c r="E60" i="34"/>
  <c r="E62" i="34"/>
  <c r="E64" i="34"/>
  <c r="E66" i="34"/>
  <c r="E68" i="34"/>
  <c r="E70" i="34"/>
  <c r="E72" i="34"/>
  <c r="E74" i="34"/>
  <c r="E76" i="34"/>
  <c r="E78" i="34"/>
  <c r="E80" i="34"/>
  <c r="E82" i="34"/>
  <c r="E84" i="34"/>
  <c r="E86" i="34"/>
  <c r="E88" i="34"/>
  <c r="E90" i="34"/>
  <c r="E92" i="34"/>
  <c r="E94" i="34"/>
  <c r="E96" i="34"/>
  <c r="E98" i="34"/>
  <c r="E100" i="34"/>
  <c r="E102" i="34"/>
  <c r="J409" i="2"/>
  <c r="L408" i="2"/>
  <c r="L406" i="2"/>
  <c r="J408" i="2"/>
  <c r="L407" i="2"/>
  <c r="J406" i="2"/>
  <c r="J407" i="2"/>
  <c r="L409" i="2"/>
  <c r="M404" i="2"/>
  <c r="M403" i="2"/>
  <c r="M402" i="2"/>
  <c r="M401" i="2"/>
  <c r="M400" i="2"/>
  <c r="M399" i="2"/>
  <c r="L404" i="2"/>
  <c r="L403" i="2"/>
  <c r="L402" i="2"/>
  <c r="L401" i="2"/>
  <c r="L400" i="2"/>
  <c r="L399" i="2"/>
  <c r="M397" i="2"/>
  <c r="M396" i="2"/>
  <c r="M395" i="2"/>
  <c r="M394" i="2"/>
  <c r="M393" i="2"/>
  <c r="M392" i="2"/>
  <c r="L397" i="2"/>
  <c r="L396" i="2"/>
  <c r="L395" i="2"/>
  <c r="L394" i="2"/>
  <c r="L393" i="2"/>
  <c r="L392" i="2"/>
  <c r="M602" i="2"/>
  <c r="M594" i="2"/>
  <c r="M590" i="2"/>
  <c r="M588" i="2"/>
  <c r="L602" i="2"/>
  <c r="L594" i="2"/>
  <c r="L590" i="2"/>
  <c r="L588" i="2"/>
  <c r="M587" i="2"/>
  <c r="M586" i="2"/>
  <c r="M585" i="2"/>
  <c r="M584" i="2"/>
  <c r="M583" i="2"/>
  <c r="M582" i="2"/>
  <c r="M581" i="2"/>
  <c r="M580" i="2"/>
  <c r="L587" i="2"/>
  <c r="L586" i="2"/>
  <c r="L585" i="2"/>
  <c r="L584" i="2"/>
  <c r="L583" i="2"/>
  <c r="L582" i="2"/>
  <c r="L581" i="2"/>
  <c r="L580" i="2"/>
  <c r="S568" i="2"/>
  <c r="J567" i="2"/>
  <c r="J569" i="2"/>
  <c r="J570" i="2"/>
  <c r="J572" i="2"/>
  <c r="J573" i="2"/>
  <c r="J574" i="2"/>
  <c r="P570" i="2"/>
  <c r="E570" i="2"/>
  <c r="F570" i="2" s="1"/>
  <c r="E574" i="2"/>
  <c r="F574" i="2" s="1"/>
  <c r="E573" i="2"/>
  <c r="F573" i="2" s="1"/>
  <c r="E572" i="2"/>
  <c r="F572" i="2" s="1"/>
  <c r="E571" i="2"/>
  <c r="F571" i="2" s="1"/>
  <c r="E569" i="2"/>
  <c r="F569" i="2" s="1"/>
  <c r="E568" i="2"/>
  <c r="F568" i="2" s="1"/>
  <c r="J571" i="2" l="1"/>
  <c r="L571" i="2"/>
  <c r="M571" i="2"/>
  <c r="M574" i="2"/>
  <c r="M573" i="2"/>
  <c r="M572" i="2"/>
  <c r="M570" i="2"/>
  <c r="M569" i="2"/>
  <c r="M567" i="2"/>
  <c r="L574" i="2"/>
  <c r="L573" i="2"/>
  <c r="L572" i="2"/>
  <c r="L570" i="2"/>
  <c r="L569" i="2"/>
  <c r="L567" i="2"/>
  <c r="J551" i="2"/>
  <c r="J552" i="2"/>
  <c r="J553" i="2"/>
  <c r="E552" i="2"/>
  <c r="F552" i="2" s="1"/>
  <c r="E551" i="2"/>
  <c r="F551" i="2" s="1"/>
  <c r="P567" i="2"/>
  <c r="J562" i="2"/>
  <c r="J563" i="2"/>
  <c r="J564" i="2"/>
  <c r="J565" i="2"/>
  <c r="J566" i="2"/>
  <c r="S561" i="2"/>
  <c r="E567" i="2"/>
  <c r="F567" i="2" s="1"/>
  <c r="E566" i="2"/>
  <c r="F566" i="2" s="1"/>
  <c r="E565" i="2"/>
  <c r="F565" i="2" s="1"/>
  <c r="E564" i="2"/>
  <c r="F564" i="2" s="1"/>
  <c r="E563" i="2"/>
  <c r="F563" i="2" s="1"/>
  <c r="E562" i="2"/>
  <c r="F562" i="2" s="1"/>
  <c r="E561" i="2"/>
  <c r="F561" i="2" s="1"/>
  <c r="J560" i="2"/>
  <c r="E560" i="2"/>
  <c r="F560" i="2" s="1"/>
  <c r="J544" i="2"/>
  <c r="J545" i="2"/>
  <c r="J546" i="2"/>
  <c r="J547" i="2"/>
  <c r="J548" i="2"/>
  <c r="E546" i="2"/>
  <c r="F546" i="2" s="1"/>
  <c r="E545" i="2"/>
  <c r="F545" i="2" s="1"/>
  <c r="J549" i="2"/>
  <c r="J550" i="2"/>
  <c r="J554" i="2"/>
  <c r="E550" i="2"/>
  <c r="F550" i="2" s="1"/>
  <c r="E549" i="2"/>
  <c r="F549" i="2" s="1"/>
  <c r="S541" i="2"/>
  <c r="J555" i="2"/>
  <c r="J556" i="2"/>
  <c r="J557" i="2"/>
  <c r="J558" i="2"/>
  <c r="J559" i="2"/>
  <c r="E559" i="2"/>
  <c r="F559" i="2" s="1"/>
  <c r="E558" i="2"/>
  <c r="F558" i="2" s="1"/>
  <c r="E557" i="2"/>
  <c r="F557" i="2" s="1"/>
  <c r="E556" i="2"/>
  <c r="F556" i="2" s="1"/>
  <c r="E555" i="2"/>
  <c r="F555" i="2" s="1"/>
  <c r="E554" i="2"/>
  <c r="F554" i="2" s="1"/>
  <c r="E553" i="2"/>
  <c r="F553" i="2" s="1"/>
  <c r="P547" i="2"/>
  <c r="E547" i="2"/>
  <c r="F547" i="2" s="1"/>
  <c r="E548" i="2"/>
  <c r="F548" i="2" s="1"/>
  <c r="E544" i="2"/>
  <c r="F544" i="2" s="1"/>
  <c r="J535" i="2"/>
  <c r="J536" i="2"/>
  <c r="J537" i="2"/>
  <c r="J538" i="2"/>
  <c r="J539" i="2"/>
  <c r="J540" i="2"/>
  <c r="J542" i="2"/>
  <c r="J543" i="2"/>
  <c r="E538" i="2"/>
  <c r="F538" i="2" s="1"/>
  <c r="E542" i="2"/>
  <c r="F542" i="2" s="1"/>
  <c r="E543" i="2"/>
  <c r="F543" i="2" s="1"/>
  <c r="E537" i="2"/>
  <c r="F537" i="2" s="1"/>
  <c r="M553" i="2" l="1"/>
  <c r="M552" i="2"/>
  <c r="M551" i="2"/>
  <c r="L553" i="2"/>
  <c r="L552" i="2"/>
  <c r="L551" i="2"/>
  <c r="M566" i="2"/>
  <c r="M565" i="2"/>
  <c r="M564" i="2"/>
  <c r="M563" i="2"/>
  <c r="M562" i="2"/>
  <c r="L566" i="2"/>
  <c r="L565" i="2"/>
  <c r="L564" i="2"/>
  <c r="L563" i="2"/>
  <c r="L562" i="2"/>
  <c r="M560" i="2"/>
  <c r="L560" i="2"/>
  <c r="M546" i="2"/>
  <c r="M544" i="2"/>
  <c r="L548" i="2"/>
  <c r="L547" i="2"/>
  <c r="L546" i="2"/>
  <c r="L545" i="2"/>
  <c r="L544" i="2"/>
  <c r="M548" i="2"/>
  <c r="M547" i="2"/>
  <c r="M545" i="2"/>
  <c r="M554" i="2"/>
  <c r="M550" i="2"/>
  <c r="M549" i="2"/>
  <c r="L554" i="2"/>
  <c r="L550" i="2"/>
  <c r="L549" i="2"/>
  <c r="M559" i="2"/>
  <c r="M558" i="2"/>
  <c r="M557" i="2"/>
  <c r="M556" i="2"/>
  <c r="M555" i="2"/>
  <c r="L559" i="2"/>
  <c r="L558" i="2"/>
  <c r="L557" i="2"/>
  <c r="L556" i="2"/>
  <c r="L555" i="2"/>
  <c r="M543" i="2"/>
  <c r="M542" i="2"/>
  <c r="M540" i="2"/>
  <c r="M539" i="2"/>
  <c r="M538" i="2"/>
  <c r="M537" i="2"/>
  <c r="M536" i="2"/>
  <c r="M535" i="2"/>
  <c r="L543" i="2"/>
  <c r="L542" i="2"/>
  <c r="L540" i="2"/>
  <c r="L539" i="2"/>
  <c r="L538" i="2"/>
  <c r="L537" i="2"/>
  <c r="L536" i="2"/>
  <c r="L535" i="2"/>
  <c r="S534" i="2"/>
  <c r="L531" i="2"/>
  <c r="L532" i="2"/>
  <c r="L533" i="2"/>
  <c r="E540" i="2"/>
  <c r="F540" i="2" s="1"/>
  <c r="E539" i="2"/>
  <c r="F539" i="2" s="1"/>
  <c r="E536" i="2"/>
  <c r="F536" i="2" s="1"/>
  <c r="E535" i="2"/>
  <c r="F535" i="2" s="1"/>
  <c r="E534" i="2"/>
  <c r="F534" i="2" s="1"/>
  <c r="S530" i="2"/>
  <c r="E533" i="2"/>
  <c r="F533" i="2" s="1"/>
  <c r="E532" i="2"/>
  <c r="F532" i="2" s="1"/>
  <c r="E531" i="2"/>
  <c r="F531" i="2" s="1"/>
  <c r="E530" i="2"/>
  <c r="F530" i="2" s="1"/>
  <c r="J532" i="2" l="1"/>
  <c r="J533" i="2"/>
  <c r="J531" i="2"/>
  <c r="M533" i="2"/>
  <c r="M532" i="2"/>
  <c r="M531" i="2"/>
  <c r="B50" i="8"/>
  <c r="B51" i="8"/>
  <c r="J504" i="2" l="1"/>
  <c r="J494" i="2"/>
  <c r="J495" i="2"/>
  <c r="J496" i="2"/>
  <c r="J497" i="2"/>
  <c r="J499" i="2"/>
  <c r="S493" i="2"/>
  <c r="S498" i="2"/>
  <c r="E497" i="2"/>
  <c r="F497" i="2" s="1"/>
  <c r="E496" i="2"/>
  <c r="F496" i="2" s="1"/>
  <c r="E495" i="2"/>
  <c r="F495" i="2" s="1"/>
  <c r="E494" i="2"/>
  <c r="F494" i="2" s="1"/>
  <c r="E493" i="2"/>
  <c r="F493" i="2" s="1"/>
  <c r="J481" i="2"/>
  <c r="J482" i="2"/>
  <c r="J483" i="2"/>
  <c r="J484" i="2"/>
  <c r="J485" i="2"/>
  <c r="J486" i="2"/>
  <c r="J487" i="2"/>
  <c r="J488" i="2"/>
  <c r="J489" i="2"/>
  <c r="J490" i="2"/>
  <c r="J491" i="2"/>
  <c r="J492" i="2"/>
  <c r="J500" i="2"/>
  <c r="J501" i="2"/>
  <c r="J502" i="2"/>
  <c r="J503" i="2"/>
  <c r="E483" i="2"/>
  <c r="F483" i="2" s="1"/>
  <c r="E482" i="2"/>
  <c r="F482" i="2" s="1"/>
  <c r="E481" i="2"/>
  <c r="F481" i="2" s="1"/>
  <c r="S480" i="2"/>
  <c r="E479" i="2"/>
  <c r="F479" i="2" s="1"/>
  <c r="M499" i="2" l="1"/>
  <c r="M497" i="2"/>
  <c r="M496" i="2"/>
  <c r="M495" i="2"/>
  <c r="M494" i="2"/>
  <c r="L499" i="2"/>
  <c r="L497" i="2"/>
  <c r="L496" i="2"/>
  <c r="L495" i="2"/>
  <c r="L494" i="2"/>
  <c r="M504" i="2"/>
  <c r="M503" i="2"/>
  <c r="M502" i="2"/>
  <c r="M501" i="2"/>
  <c r="M500" i="2"/>
  <c r="M492" i="2"/>
  <c r="M491" i="2"/>
  <c r="M490" i="2"/>
  <c r="M489" i="2"/>
  <c r="M488" i="2"/>
  <c r="M487" i="2"/>
  <c r="M486" i="2"/>
  <c r="M485" i="2"/>
  <c r="M484" i="2"/>
  <c r="M483" i="2"/>
  <c r="M482" i="2"/>
  <c r="M481" i="2"/>
  <c r="L504" i="2"/>
  <c r="L503" i="2"/>
  <c r="L502" i="2"/>
  <c r="L501" i="2"/>
  <c r="L500" i="2"/>
  <c r="L492" i="2"/>
  <c r="L491" i="2"/>
  <c r="L490" i="2"/>
  <c r="L489" i="2"/>
  <c r="L488" i="2"/>
  <c r="L487" i="2"/>
  <c r="L486" i="2"/>
  <c r="L485" i="2"/>
  <c r="L484" i="2"/>
  <c r="L483" i="2"/>
  <c r="L482" i="2"/>
  <c r="L481" i="2"/>
  <c r="E504" i="2"/>
  <c r="F504" i="2" s="1"/>
  <c r="E503" i="2"/>
  <c r="F503" i="2" s="1"/>
  <c r="E502" i="2"/>
  <c r="F502" i="2" s="1"/>
  <c r="E501" i="2"/>
  <c r="F501" i="2" s="1"/>
  <c r="E500" i="2"/>
  <c r="F500" i="2" s="1"/>
  <c r="E499" i="2"/>
  <c r="F499" i="2" s="1"/>
  <c r="E498" i="2"/>
  <c r="F498" i="2" s="1"/>
  <c r="E492" i="2"/>
  <c r="F492" i="2" s="1"/>
  <c r="E491" i="2"/>
  <c r="F491" i="2" s="1"/>
  <c r="E490" i="2"/>
  <c r="F490" i="2" s="1"/>
  <c r="E489" i="2"/>
  <c r="F489" i="2" s="1"/>
  <c r="E488" i="2"/>
  <c r="F488" i="2" s="1"/>
  <c r="E487" i="2"/>
  <c r="F487" i="2" s="1"/>
  <c r="E486" i="2"/>
  <c r="F486" i="2" s="1"/>
  <c r="E485" i="2"/>
  <c r="F485" i="2" s="1"/>
  <c r="E484" i="2"/>
  <c r="F484" i="2" s="1"/>
  <c r="E480" i="2"/>
  <c r="F480" i="2" s="1"/>
  <c r="J475" i="2"/>
  <c r="J476" i="2"/>
  <c r="J477" i="2"/>
  <c r="J478" i="2"/>
  <c r="E478" i="2"/>
  <c r="F478" i="2" s="1"/>
  <c r="E477" i="2"/>
  <c r="F477" i="2" s="1"/>
  <c r="E476" i="2"/>
  <c r="F476" i="2" s="1"/>
  <c r="E475" i="2"/>
  <c r="F475" i="2" s="1"/>
  <c r="E474" i="2"/>
  <c r="F474" i="2" s="1"/>
  <c r="M513" i="2"/>
  <c r="M514" i="2"/>
  <c r="M515" i="2"/>
  <c r="M516" i="2"/>
  <c r="P516" i="2"/>
  <c r="E516" i="2"/>
  <c r="F516" i="2" s="1"/>
  <c r="P515" i="2"/>
  <c r="S512" i="2"/>
  <c r="J511" i="2"/>
  <c r="E513" i="2"/>
  <c r="F513" i="2" s="1"/>
  <c r="E514" i="2"/>
  <c r="F514" i="2" s="1"/>
  <c r="E515" i="2"/>
  <c r="F515" i="2" s="1"/>
  <c r="S505" i="2"/>
  <c r="S506" i="2"/>
  <c r="E512" i="2"/>
  <c r="F512" i="2" s="1"/>
  <c r="E511" i="2"/>
  <c r="F511" i="2" s="1"/>
  <c r="E510" i="2"/>
  <c r="F510" i="2" s="1"/>
  <c r="E509" i="2"/>
  <c r="F509" i="2" s="1"/>
  <c r="E508" i="2"/>
  <c r="F508" i="2" s="1"/>
  <c r="E507" i="2"/>
  <c r="F507" i="2" s="1"/>
  <c r="E506" i="2"/>
  <c r="F506" i="2" s="1"/>
  <c r="E505" i="2"/>
  <c r="F505" i="2" s="1"/>
  <c r="J506" i="2"/>
  <c r="J507" i="2"/>
  <c r="J508" i="2"/>
  <c r="J509" i="2"/>
  <c r="J510" i="2"/>
  <c r="J514" i="2" l="1"/>
  <c r="J515" i="2"/>
  <c r="L515" i="2"/>
  <c r="M478" i="2"/>
  <c r="M477" i="2"/>
  <c r="M476" i="2"/>
  <c r="M475" i="2"/>
  <c r="L478" i="2"/>
  <c r="L477" i="2"/>
  <c r="L476" i="2"/>
  <c r="L475" i="2"/>
  <c r="L516" i="2"/>
  <c r="J516" i="2"/>
  <c r="L513" i="2"/>
  <c r="L514" i="2"/>
  <c r="J513" i="2"/>
  <c r="M511" i="2"/>
  <c r="M510" i="2"/>
  <c r="M509" i="2"/>
  <c r="M508" i="2"/>
  <c r="M507" i="2"/>
  <c r="M506" i="2"/>
  <c r="L511" i="2"/>
  <c r="L510" i="2"/>
  <c r="L509" i="2"/>
  <c r="L508" i="2"/>
  <c r="L507" i="2"/>
  <c r="L506" i="2"/>
  <c r="J518" i="2"/>
  <c r="J519" i="2"/>
  <c r="J520" i="2"/>
  <c r="J521" i="2"/>
  <c r="J522" i="2"/>
  <c r="J523" i="2"/>
  <c r="J524" i="2"/>
  <c r="J525" i="2"/>
  <c r="J526" i="2"/>
  <c r="J527" i="2"/>
  <c r="J528" i="2"/>
  <c r="J529" i="2"/>
  <c r="S517" i="2"/>
  <c r="E529" i="2"/>
  <c r="F529" i="2" s="1"/>
  <c r="E528" i="2"/>
  <c r="F528" i="2" s="1"/>
  <c r="E527" i="2"/>
  <c r="F527" i="2" s="1"/>
  <c r="E526" i="2"/>
  <c r="F526" i="2" s="1"/>
  <c r="E525" i="2"/>
  <c r="F525" i="2" s="1"/>
  <c r="E524" i="2"/>
  <c r="F524" i="2" s="1"/>
  <c r="E523" i="2"/>
  <c r="F523" i="2" s="1"/>
  <c r="E522" i="2"/>
  <c r="F522" i="2" s="1"/>
  <c r="E521" i="2"/>
  <c r="F521" i="2" s="1"/>
  <c r="E520" i="2"/>
  <c r="F520" i="2" s="1"/>
  <c r="E519" i="2"/>
  <c r="F519" i="2" s="1"/>
  <c r="E518" i="2"/>
  <c r="F518" i="2" s="1"/>
  <c r="E517" i="2"/>
  <c r="F517" i="2" s="1"/>
  <c r="S462" i="2"/>
  <c r="S465" i="2"/>
  <c r="S468" i="2"/>
  <c r="J463" i="2"/>
  <c r="J464" i="2"/>
  <c r="J465" i="2"/>
  <c r="J466" i="2"/>
  <c r="J467" i="2"/>
  <c r="E470" i="2"/>
  <c r="F470" i="2" s="1"/>
  <c r="E469" i="2"/>
  <c r="F469" i="2" s="1"/>
  <c r="E468" i="2"/>
  <c r="F468" i="2" s="1"/>
  <c r="E467" i="2"/>
  <c r="F467" i="2" s="1"/>
  <c r="E466" i="2"/>
  <c r="F466" i="2" s="1"/>
  <c r="E465" i="2"/>
  <c r="F465" i="2" s="1"/>
  <c r="E464" i="2"/>
  <c r="F464" i="2" s="1"/>
  <c r="E463" i="2"/>
  <c r="F463" i="2" s="1"/>
  <c r="E462" i="2"/>
  <c r="F462" i="2" s="1"/>
  <c r="P459" i="2"/>
  <c r="P458" i="2"/>
  <c r="S457" i="2"/>
  <c r="J458" i="2"/>
  <c r="J459" i="2"/>
  <c r="J460" i="2"/>
  <c r="J461" i="2"/>
  <c r="E459" i="2"/>
  <c r="F459" i="2" s="1"/>
  <c r="E460" i="2"/>
  <c r="F460" i="2" s="1"/>
  <c r="E461" i="2"/>
  <c r="F461" i="2" s="1"/>
  <c r="E458" i="2"/>
  <c r="F458" i="2" s="1"/>
  <c r="E457" i="2"/>
  <c r="F457" i="2" s="1"/>
  <c r="S456" i="2"/>
  <c r="E456" i="2"/>
  <c r="F456" i="2" s="1"/>
  <c r="E455" i="2"/>
  <c r="F455" i="2" s="1"/>
  <c r="J444" i="2"/>
  <c r="J445" i="2"/>
  <c r="J446" i="2"/>
  <c r="J603" i="2"/>
  <c r="J604" i="2"/>
  <c r="E446" i="2"/>
  <c r="F446" i="2" s="1"/>
  <c r="E445" i="2"/>
  <c r="F445" i="2" s="1"/>
  <c r="E444" i="2"/>
  <c r="F444" i="2" s="1"/>
  <c r="E443" i="2"/>
  <c r="F443" i="2" s="1"/>
  <c r="S434" i="2"/>
  <c r="J435" i="2"/>
  <c r="J436" i="2"/>
  <c r="J437" i="2"/>
  <c r="E435" i="2"/>
  <c r="F435" i="2" s="1"/>
  <c r="E436" i="2"/>
  <c r="F436" i="2" s="1"/>
  <c r="E437" i="2"/>
  <c r="F437" i="2" s="1"/>
  <c r="E434" i="2"/>
  <c r="F434" i="2" s="1"/>
  <c r="J431" i="2"/>
  <c r="J432" i="2"/>
  <c r="J433" i="2"/>
  <c r="E430" i="2"/>
  <c r="F430" i="2" s="1"/>
  <c r="E433" i="2"/>
  <c r="F433" i="2" s="1"/>
  <c r="E432" i="2"/>
  <c r="F432" i="2" s="1"/>
  <c r="E431" i="2"/>
  <c r="F431" i="2" s="1"/>
  <c r="E425" i="2"/>
  <c r="F425" i="2" s="1"/>
  <c r="S378" i="2"/>
  <c r="E381" i="2"/>
  <c r="F381" i="2" s="1"/>
  <c r="E380" i="2"/>
  <c r="F380" i="2" s="1"/>
  <c r="J379" i="2"/>
  <c r="E379" i="2"/>
  <c r="F379" i="2" s="1"/>
  <c r="E378" i="2"/>
  <c r="F378" i="2" s="1"/>
  <c r="S373" i="2"/>
  <c r="J374" i="2"/>
  <c r="J375" i="2"/>
  <c r="E374" i="2"/>
  <c r="F374" i="2" s="1"/>
  <c r="J376" i="2"/>
  <c r="J377" i="2"/>
  <c r="E377" i="2"/>
  <c r="F377" i="2" s="1"/>
  <c r="E376" i="2"/>
  <c r="F376" i="2" s="1"/>
  <c r="E375" i="2"/>
  <c r="F375" i="2" s="1"/>
  <c r="E373" i="2"/>
  <c r="F373" i="2" s="1"/>
  <c r="J370" i="2"/>
  <c r="J371" i="2"/>
  <c r="J372" i="2"/>
  <c r="E372" i="2"/>
  <c r="F372" i="2" s="1"/>
  <c r="E371" i="2"/>
  <c r="F371" i="2" s="1"/>
  <c r="E370" i="2"/>
  <c r="F370" i="2" s="1"/>
  <c r="E369" i="2"/>
  <c r="F369" i="2" s="1"/>
  <c r="E368" i="2"/>
  <c r="F368" i="2" s="1"/>
  <c r="E367" i="2"/>
  <c r="F367" i="2" s="1"/>
  <c r="E366" i="2"/>
  <c r="F366" i="2" s="1"/>
  <c r="E365" i="2"/>
  <c r="F365" i="2" s="1"/>
  <c r="P364" i="2"/>
  <c r="S363" i="2"/>
  <c r="J364" i="2"/>
  <c r="J368" i="2"/>
  <c r="J369" i="2"/>
  <c r="E364" i="2"/>
  <c r="F364" i="2" s="1"/>
  <c r="E363" i="2"/>
  <c r="F363" i="2" s="1"/>
  <c r="M529" i="2" l="1"/>
  <c r="M528" i="2"/>
  <c r="M527" i="2"/>
  <c r="M526" i="2"/>
  <c r="M525" i="2"/>
  <c r="M524" i="2"/>
  <c r="M523" i="2"/>
  <c r="M522" i="2"/>
  <c r="M521" i="2"/>
  <c r="M520" i="2"/>
  <c r="M519" i="2"/>
  <c r="M518" i="2"/>
  <c r="L529" i="2"/>
  <c r="L528" i="2"/>
  <c r="L527" i="2"/>
  <c r="L526" i="2"/>
  <c r="L525" i="2"/>
  <c r="L524" i="2"/>
  <c r="L523" i="2"/>
  <c r="L522" i="2"/>
  <c r="L521" i="2"/>
  <c r="L520" i="2"/>
  <c r="L519" i="2"/>
  <c r="L518" i="2"/>
  <c r="M467" i="2"/>
  <c r="M466" i="2"/>
  <c r="M465" i="2"/>
  <c r="M464" i="2"/>
  <c r="M463" i="2"/>
  <c r="L467" i="2"/>
  <c r="L466" i="2"/>
  <c r="L465" i="2"/>
  <c r="L464" i="2"/>
  <c r="L463" i="2"/>
  <c r="M461" i="2"/>
  <c r="M460" i="2"/>
  <c r="M459" i="2"/>
  <c r="M458" i="2"/>
  <c r="L461" i="2"/>
  <c r="L460" i="2"/>
  <c r="L459" i="2"/>
  <c r="L458" i="2"/>
  <c r="M604" i="2"/>
  <c r="M603" i="2"/>
  <c r="M446" i="2"/>
  <c r="M445" i="2"/>
  <c r="M444" i="2"/>
  <c r="L604" i="2"/>
  <c r="L603" i="2"/>
  <c r="L446" i="2"/>
  <c r="L445" i="2"/>
  <c r="L444" i="2"/>
  <c r="M437" i="2"/>
  <c r="M436" i="2"/>
  <c r="M435" i="2"/>
  <c r="L437" i="2"/>
  <c r="L436" i="2"/>
  <c r="L435" i="2"/>
  <c r="M433" i="2"/>
  <c r="M432" i="2"/>
  <c r="M431" i="2"/>
  <c r="L433" i="2"/>
  <c r="L432" i="2"/>
  <c r="L431" i="2"/>
  <c r="M379" i="2"/>
  <c r="L379" i="2"/>
  <c r="M375" i="2"/>
  <c r="M374" i="2"/>
  <c r="L375" i="2"/>
  <c r="L374" i="2"/>
  <c r="M377" i="2"/>
  <c r="M376" i="2"/>
  <c r="L377" i="2"/>
  <c r="L376" i="2"/>
  <c r="M372" i="2"/>
  <c r="M371" i="2"/>
  <c r="M370" i="2"/>
  <c r="L372" i="2"/>
  <c r="L371" i="2"/>
  <c r="L370" i="2"/>
  <c r="M369" i="2"/>
  <c r="M368" i="2"/>
  <c r="M364" i="2"/>
  <c r="L369" i="2"/>
  <c r="L368" i="2"/>
  <c r="L364" i="2"/>
  <c r="E359" i="2"/>
  <c r="F359" i="2" s="1"/>
  <c r="J347" i="2"/>
  <c r="J348" i="2"/>
  <c r="J349" i="2"/>
  <c r="J350" i="2"/>
  <c r="J351" i="2"/>
  <c r="S346" i="2"/>
  <c r="S352" i="2"/>
  <c r="E351" i="2"/>
  <c r="F351" i="2" s="1"/>
  <c r="E350" i="2"/>
  <c r="F350" i="2" s="1"/>
  <c r="E349" i="2"/>
  <c r="F349" i="2" s="1"/>
  <c r="E348" i="2"/>
  <c r="F348" i="2" s="1"/>
  <c r="E347" i="2"/>
  <c r="F347" i="2" s="1"/>
  <c r="E346" i="2"/>
  <c r="F346" i="2" s="1"/>
  <c r="E345" i="2"/>
  <c r="F345" i="2" s="1"/>
  <c r="E344" i="2"/>
  <c r="F344" i="2" s="1"/>
  <c r="E343" i="2"/>
  <c r="F343" i="2" s="1"/>
  <c r="E342" i="2"/>
  <c r="F342" i="2" s="1"/>
  <c r="S340" i="2"/>
  <c r="J341" i="2"/>
  <c r="E340" i="2"/>
  <c r="F340" i="2" s="1"/>
  <c r="E341" i="2"/>
  <c r="F341" i="2" s="1"/>
  <c r="J326" i="2"/>
  <c r="J327" i="2"/>
  <c r="J328" i="2"/>
  <c r="J329" i="2"/>
  <c r="J330" i="2"/>
  <c r="J331" i="2"/>
  <c r="J332" i="2"/>
  <c r="J333" i="2"/>
  <c r="J334" i="2"/>
  <c r="J335" i="2"/>
  <c r="J336" i="2"/>
  <c r="J337" i="2"/>
  <c r="J338" i="2"/>
  <c r="J339" i="2"/>
  <c r="E339" i="2"/>
  <c r="F339" i="2" s="1"/>
  <c r="E338" i="2"/>
  <c r="F338" i="2" s="1"/>
  <c r="E337" i="2"/>
  <c r="F337" i="2" s="1"/>
  <c r="E336" i="2"/>
  <c r="F336" i="2" s="1"/>
  <c r="E335" i="2"/>
  <c r="F335" i="2" s="1"/>
  <c r="E334" i="2"/>
  <c r="F334" i="2" s="1"/>
  <c r="E333" i="2"/>
  <c r="F333" i="2" s="1"/>
  <c r="E332" i="2"/>
  <c r="F332" i="2" s="1"/>
  <c r="E331" i="2"/>
  <c r="F331" i="2" s="1"/>
  <c r="E330" i="2"/>
  <c r="F330" i="2" s="1"/>
  <c r="E329" i="2"/>
  <c r="F329" i="2" s="1"/>
  <c r="E328" i="2"/>
  <c r="F328" i="2" s="1"/>
  <c r="E327" i="2"/>
  <c r="F327" i="2" s="1"/>
  <c r="E326" i="2"/>
  <c r="F326" i="2" s="1"/>
  <c r="J324" i="2"/>
  <c r="M325" i="2"/>
  <c r="M351" i="2" l="1"/>
  <c r="M350" i="2"/>
  <c r="M349" i="2"/>
  <c r="M348" i="2"/>
  <c r="M347" i="2"/>
  <c r="L351" i="2"/>
  <c r="L350" i="2"/>
  <c r="L349" i="2"/>
  <c r="L348" i="2"/>
  <c r="L347" i="2"/>
  <c r="M341" i="2"/>
  <c r="L341" i="2"/>
  <c r="M339" i="2"/>
  <c r="M338" i="2"/>
  <c r="M337" i="2"/>
  <c r="M336" i="2"/>
  <c r="M335" i="2"/>
  <c r="M334" i="2"/>
  <c r="M333" i="2"/>
  <c r="M332" i="2"/>
  <c r="M331" i="2"/>
  <c r="M330" i="2"/>
  <c r="M329" i="2"/>
  <c r="M328" i="2"/>
  <c r="M327" i="2"/>
  <c r="M326" i="2"/>
  <c r="L339" i="2"/>
  <c r="L338" i="2"/>
  <c r="L337" i="2"/>
  <c r="L336" i="2"/>
  <c r="L335" i="2"/>
  <c r="L334" i="2"/>
  <c r="L333" i="2"/>
  <c r="L332" i="2"/>
  <c r="L331" i="2"/>
  <c r="L330" i="2"/>
  <c r="L329" i="2"/>
  <c r="L328" i="2"/>
  <c r="L327" i="2"/>
  <c r="L326" i="2"/>
  <c r="L325" i="2"/>
  <c r="L324" i="2"/>
  <c r="J325" i="2"/>
  <c r="M324" i="2"/>
  <c r="E325" i="2"/>
  <c r="F325" i="2" s="1"/>
  <c r="E324" i="2"/>
  <c r="F324" i="2" s="1"/>
  <c r="E323" i="2"/>
  <c r="F323" i="2" s="1"/>
  <c r="S322" i="2"/>
  <c r="E322" i="2"/>
  <c r="F322" i="2" s="1"/>
  <c r="E321" i="2"/>
  <c r="F321" i="2" s="1"/>
  <c r="S315" i="2"/>
  <c r="E316" i="2"/>
  <c r="F316" i="2" s="1"/>
  <c r="E317" i="2"/>
  <c r="F317" i="2" s="1"/>
  <c r="E318" i="2"/>
  <c r="F318" i="2" s="1"/>
  <c r="E319" i="2"/>
  <c r="F319" i="2" s="1"/>
  <c r="E320" i="2"/>
  <c r="F320" i="2" s="1"/>
  <c r="S733" i="2"/>
  <c r="J732" i="2"/>
  <c r="E732" i="2"/>
  <c r="F732" i="2" s="1"/>
  <c r="E310" i="2"/>
  <c r="F310" i="2" s="1"/>
  <c r="E311" i="2"/>
  <c r="F311" i="2" s="1"/>
  <c r="E312" i="2"/>
  <c r="F312" i="2" s="1"/>
  <c r="E313" i="2"/>
  <c r="F313" i="2" s="1"/>
  <c r="E314" i="2"/>
  <c r="F314" i="2" s="1"/>
  <c r="E315" i="2"/>
  <c r="F315" i="2" s="1"/>
  <c r="E352" i="2"/>
  <c r="F352" i="2" s="1"/>
  <c r="J318" i="2" l="1"/>
  <c r="L318" i="2"/>
  <c r="J321" i="2"/>
  <c r="L321" i="2"/>
  <c r="J313" i="2"/>
  <c r="L313" i="2"/>
  <c r="J317" i="2"/>
  <c r="L317" i="2"/>
  <c r="J312" i="2"/>
  <c r="L312" i="2"/>
  <c r="J315" i="2"/>
  <c r="L315" i="2"/>
  <c r="J311" i="2"/>
  <c r="L311" i="2"/>
  <c r="J320" i="2"/>
  <c r="L320" i="2"/>
  <c r="J316" i="2"/>
  <c r="L316" i="2"/>
  <c r="M323" i="2"/>
  <c r="L323" i="2"/>
  <c r="J314" i="2"/>
  <c r="L314" i="2"/>
  <c r="J319" i="2"/>
  <c r="L319" i="2"/>
  <c r="M353" i="2"/>
  <c r="L353" i="2"/>
  <c r="M322" i="2"/>
  <c r="L322" i="2"/>
  <c r="J353" i="2"/>
  <c r="J323" i="2"/>
  <c r="J322" i="2"/>
  <c r="M321" i="2"/>
  <c r="M320" i="2"/>
  <c r="M319" i="2"/>
  <c r="M318" i="2"/>
  <c r="M317" i="2"/>
  <c r="M316" i="2"/>
  <c r="M732" i="2"/>
  <c r="L732" i="2"/>
  <c r="M315" i="2"/>
  <c r="M314" i="2"/>
  <c r="M313" i="2"/>
  <c r="M312" i="2"/>
  <c r="M311" i="2"/>
  <c r="A229" i="3"/>
  <c r="A230" i="3"/>
  <c r="A231" i="3"/>
  <c r="A228" i="3"/>
  <c r="A227"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6" i="3"/>
  <c r="A165" i="3"/>
  <c r="A164" i="3"/>
  <c r="A163"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33" i="3"/>
  <c r="A132" i="3"/>
  <c r="A131" i="3"/>
  <c r="A351" i="3"/>
  <c r="A352" i="3"/>
  <c r="A353" i="3"/>
  <c r="A350" i="3"/>
  <c r="A349" i="3"/>
  <c r="A348" i="3"/>
  <c r="A347" i="3"/>
  <c r="A346" i="3"/>
  <c r="A345" i="3"/>
  <c r="A344" i="3"/>
  <c r="A343" i="3"/>
  <c r="A342" i="3"/>
  <c r="A341" i="3"/>
  <c r="A340" i="3"/>
  <c r="A339" i="3"/>
  <c r="A338" i="3"/>
  <c r="A337" i="3"/>
  <c r="A336" i="3"/>
  <c r="A335" i="3"/>
  <c r="A334" i="3"/>
  <c r="A333" i="3"/>
  <c r="A332" i="3"/>
  <c r="A331" i="3"/>
  <c r="A330" i="3"/>
  <c r="A329" i="3"/>
  <c r="A328" i="3"/>
  <c r="A327" i="3"/>
  <c r="A326" i="3"/>
  <c r="A325" i="3"/>
  <c r="A324" i="3"/>
  <c r="A323" i="3"/>
  <c r="A322" i="3"/>
  <c r="A321" i="3"/>
  <c r="A320" i="3"/>
  <c r="A319" i="3"/>
  <c r="A318" i="3"/>
  <c r="A317" i="3"/>
  <c r="A316" i="3"/>
  <c r="A315" i="3"/>
  <c r="A314" i="3"/>
  <c r="A313" i="3"/>
  <c r="A312" i="3"/>
  <c r="A311" i="3"/>
  <c r="A310" i="3"/>
  <c r="A309" i="3"/>
  <c r="A308" i="3"/>
  <c r="A307" i="3"/>
  <c r="A306" i="3"/>
  <c r="A305" i="3"/>
  <c r="A304" i="3"/>
  <c r="A303" i="3"/>
  <c r="A302" i="3"/>
  <c r="A301" i="3"/>
  <c r="A300" i="3"/>
  <c r="A299" i="3"/>
  <c r="A298" i="3"/>
  <c r="A297" i="3"/>
  <c r="A296" i="3"/>
  <c r="A295" i="3"/>
  <c r="A294" i="3"/>
  <c r="A293" i="3"/>
  <c r="A292" i="3"/>
  <c r="A291" i="3"/>
  <c r="A290" i="3"/>
  <c r="A289" i="3"/>
  <c r="A288" i="3"/>
  <c r="A287" i="3"/>
  <c r="A286" i="3"/>
  <c r="A285" i="3"/>
  <c r="A284" i="3"/>
  <c r="A283" i="3"/>
  <c r="A282" i="3"/>
  <c r="A281" i="3"/>
  <c r="A280" i="3"/>
  <c r="A279" i="3"/>
  <c r="A278" i="3"/>
  <c r="A277" i="3"/>
  <c r="A276" i="3"/>
  <c r="A275" i="3"/>
  <c r="A274" i="3"/>
  <c r="A273" i="3"/>
  <c r="A272" i="3"/>
  <c r="A271" i="3"/>
  <c r="A270" i="3"/>
  <c r="A269" i="3"/>
  <c r="A268" i="3"/>
  <c r="A267" i="3"/>
  <c r="A266" i="3"/>
  <c r="A265" i="3"/>
  <c r="A264" i="3"/>
  <c r="A263" i="3"/>
  <c r="A262" i="3"/>
  <c r="A261" i="3"/>
  <c r="A260" i="3"/>
  <c r="A259" i="3"/>
  <c r="A258" i="3"/>
  <c r="A257" i="3"/>
  <c r="A256" i="3"/>
  <c r="A255" i="3"/>
  <c r="A254" i="3"/>
  <c r="J355" i="2" l="1"/>
  <c r="J356" i="2"/>
  <c r="J357" i="2"/>
  <c r="J358" i="2"/>
  <c r="E353" i="2"/>
  <c r="F353" i="2" s="1"/>
  <c r="E354" i="2"/>
  <c r="F354" i="2" s="1"/>
  <c r="E355" i="2"/>
  <c r="F355" i="2" s="1"/>
  <c r="E356" i="2"/>
  <c r="F356" i="2" s="1"/>
  <c r="E357" i="2"/>
  <c r="F357" i="2" s="1"/>
  <c r="E358" i="2"/>
  <c r="F358" i="2" s="1"/>
  <c r="E360" i="2"/>
  <c r="F360" i="2" s="1"/>
  <c r="M644" i="2"/>
  <c r="E649" i="2"/>
  <c r="F649" i="2" s="1"/>
  <c r="S650" i="2"/>
  <c r="J620" i="2"/>
  <c r="J621" i="2"/>
  <c r="J622" i="2"/>
  <c r="J623" i="2"/>
  <c r="S619" i="2"/>
  <c r="E624" i="2"/>
  <c r="F624" i="2" s="1"/>
  <c r="E623" i="2"/>
  <c r="F623" i="2" s="1"/>
  <c r="E622" i="2"/>
  <c r="F622" i="2" s="1"/>
  <c r="E621" i="2"/>
  <c r="F621" i="2" s="1"/>
  <c r="E620" i="2"/>
  <c r="F620" i="2" s="1"/>
  <c r="E619" i="2"/>
  <c r="F619" i="2" s="1"/>
  <c r="J635" i="2"/>
  <c r="J636" i="2"/>
  <c r="J637" i="2"/>
  <c r="J638" i="2"/>
  <c r="J639" i="2"/>
  <c r="J640" i="2"/>
  <c r="J641" i="2"/>
  <c r="J642" i="2"/>
  <c r="J643" i="2"/>
  <c r="J651" i="2"/>
  <c r="J652" i="2"/>
  <c r="J653" i="2"/>
  <c r="E639" i="2"/>
  <c r="F639" i="2" s="1"/>
  <c r="E650" i="2"/>
  <c r="F650" i="2" s="1"/>
  <c r="E644" i="2"/>
  <c r="F644" i="2" s="1"/>
  <c r="E643" i="2"/>
  <c r="F643" i="2" s="1"/>
  <c r="E642" i="2"/>
  <c r="F642" i="2" s="1"/>
  <c r="E641" i="2"/>
  <c r="F641" i="2" s="1"/>
  <c r="E640" i="2"/>
  <c r="F640" i="2" s="1"/>
  <c r="E638" i="2"/>
  <c r="F638" i="2" s="1"/>
  <c r="E637" i="2"/>
  <c r="F637" i="2" s="1"/>
  <c r="E636" i="2"/>
  <c r="F636" i="2" s="1"/>
  <c r="E635" i="2"/>
  <c r="F635" i="2" s="1"/>
  <c r="E634" i="2"/>
  <c r="F634" i="2" s="1"/>
  <c r="E633" i="2"/>
  <c r="F633" i="2" s="1"/>
  <c r="E362" i="2"/>
  <c r="F362" i="2" s="1"/>
  <c r="E601" i="2"/>
  <c r="F601" i="2" s="1"/>
  <c r="E361" i="2"/>
  <c r="F361" i="2" s="1"/>
  <c r="S614" i="2"/>
  <c r="J613" i="2"/>
  <c r="J615" i="2"/>
  <c r="J616" i="2"/>
  <c r="E615" i="2"/>
  <c r="F615" i="2" s="1"/>
  <c r="E616" i="2"/>
  <c r="F616" i="2" s="1"/>
  <c r="E617" i="2"/>
  <c r="F617" i="2" s="1"/>
  <c r="E614" i="2"/>
  <c r="F614" i="2" s="1"/>
  <c r="J605" i="2"/>
  <c r="J606" i="2"/>
  <c r="J607" i="2"/>
  <c r="J608" i="2"/>
  <c r="J609" i="2"/>
  <c r="J610" i="2"/>
  <c r="J611" i="2"/>
  <c r="J612" i="2"/>
  <c r="E602" i="2"/>
  <c r="F602" i="2" s="1"/>
  <c r="E610" i="2"/>
  <c r="F610" i="2" s="1"/>
  <c r="E611" i="2"/>
  <c r="F611" i="2" s="1"/>
  <c r="E612" i="2"/>
  <c r="F612" i="2" s="1"/>
  <c r="E613" i="2"/>
  <c r="F613" i="2" s="1"/>
  <c r="E603" i="2"/>
  <c r="F603" i="2" s="1"/>
  <c r="E604" i="2"/>
  <c r="F604" i="2" s="1"/>
  <c r="E605" i="2"/>
  <c r="F605" i="2" s="1"/>
  <c r="E606" i="2"/>
  <c r="F606" i="2" s="1"/>
  <c r="E607" i="2"/>
  <c r="F607" i="2" s="1"/>
  <c r="E608" i="2"/>
  <c r="F608" i="2" s="1"/>
  <c r="E609" i="2"/>
  <c r="F609" i="2" s="1"/>
  <c r="E618" i="2"/>
  <c r="F618" i="2" s="1"/>
  <c r="J755" i="2"/>
  <c r="J756" i="2"/>
  <c r="J757" i="2"/>
  <c r="J758" i="2"/>
  <c r="E756" i="2"/>
  <c r="F756" i="2" s="1"/>
  <c r="J672" i="2"/>
  <c r="M671" i="2"/>
  <c r="E708" i="2"/>
  <c r="F708" i="2" s="1"/>
  <c r="E709" i="2"/>
  <c r="F709" i="2" s="1"/>
  <c r="E710" i="2"/>
  <c r="F710" i="2" s="1"/>
  <c r="S740" i="2"/>
  <c r="S670" i="2"/>
  <c r="S671" i="2"/>
  <c r="S672" i="2"/>
  <c r="E671" i="2"/>
  <c r="F671" i="2" s="1"/>
  <c r="J354" i="2" l="1"/>
  <c r="L354" i="2"/>
  <c r="L644" i="2"/>
  <c r="J644" i="2"/>
  <c r="M358" i="2"/>
  <c r="M357" i="2"/>
  <c r="M356" i="2"/>
  <c r="M355" i="2"/>
  <c r="M354" i="2"/>
  <c r="L358" i="2"/>
  <c r="L357" i="2"/>
  <c r="L356" i="2"/>
  <c r="L355" i="2"/>
  <c r="M623" i="2"/>
  <c r="M622" i="2"/>
  <c r="M621" i="2"/>
  <c r="M620" i="2"/>
  <c r="L623" i="2"/>
  <c r="L622" i="2"/>
  <c r="L621" i="2"/>
  <c r="L620" i="2"/>
  <c r="M643" i="2"/>
  <c r="M642" i="2"/>
  <c r="M641" i="2"/>
  <c r="M640" i="2"/>
  <c r="M639" i="2"/>
  <c r="M638" i="2"/>
  <c r="M637" i="2"/>
  <c r="M636" i="2"/>
  <c r="M635" i="2"/>
  <c r="L643" i="2"/>
  <c r="L642" i="2"/>
  <c r="L641" i="2"/>
  <c r="L640" i="2"/>
  <c r="L639" i="2"/>
  <c r="L638" i="2"/>
  <c r="L637" i="2"/>
  <c r="L636" i="2"/>
  <c r="L635" i="2"/>
  <c r="M616" i="2"/>
  <c r="M615" i="2"/>
  <c r="M613" i="2"/>
  <c r="L616" i="2"/>
  <c r="L615" i="2"/>
  <c r="L613" i="2"/>
  <c r="M612" i="2"/>
  <c r="M611" i="2"/>
  <c r="M610" i="2"/>
  <c r="M609" i="2"/>
  <c r="M608" i="2"/>
  <c r="M607" i="2"/>
  <c r="M606" i="2"/>
  <c r="M605" i="2"/>
  <c r="L612" i="2"/>
  <c r="L611" i="2"/>
  <c r="L610" i="2"/>
  <c r="L609" i="2"/>
  <c r="L608" i="2"/>
  <c r="L607" i="2"/>
  <c r="L606" i="2"/>
  <c r="L605" i="2"/>
  <c r="M653" i="2"/>
  <c r="M652" i="2"/>
  <c r="M651" i="2"/>
  <c r="L653" i="2"/>
  <c r="L652" i="2"/>
  <c r="L651" i="2"/>
  <c r="M758" i="2"/>
  <c r="M757" i="2"/>
  <c r="M756" i="2"/>
  <c r="M755" i="2"/>
  <c r="L758" i="2"/>
  <c r="L757" i="2"/>
  <c r="L756" i="2"/>
  <c r="L755" i="2"/>
  <c r="J671" i="2"/>
  <c r="M672" i="2"/>
  <c r="E651" i="2"/>
  <c r="F651" i="2" s="1"/>
  <c r="E652" i="2"/>
  <c r="F652" i="2" s="1"/>
  <c r="E672" i="2"/>
  <c r="F672" i="2" s="1"/>
  <c r="L656" i="2"/>
  <c r="L658" i="2"/>
  <c r="J660" i="2"/>
  <c r="J661" i="2"/>
  <c r="J662" i="2"/>
  <c r="L664" i="2"/>
  <c r="J665" i="2"/>
  <c r="L666" i="2"/>
  <c r="J668" i="2"/>
  <c r="J669" i="2"/>
  <c r="J657" i="2"/>
  <c r="S654" i="2"/>
  <c r="S655" i="2"/>
  <c r="S656" i="2"/>
  <c r="M655" i="2"/>
  <c r="L659" i="2"/>
  <c r="M659" i="2"/>
  <c r="L660" i="2"/>
  <c r="L663" i="2"/>
  <c r="M663" i="2"/>
  <c r="L667" i="2"/>
  <c r="M667" i="2"/>
  <c r="L668" i="2"/>
  <c r="M668" i="2"/>
  <c r="L670" i="2"/>
  <c r="J667" i="2"/>
  <c r="J663" i="2"/>
  <c r="J659" i="2"/>
  <c r="J655" i="2"/>
  <c r="E670" i="2"/>
  <c r="F670" i="2" s="1"/>
  <c r="E669" i="2"/>
  <c r="F669" i="2" s="1"/>
  <c r="E668" i="2"/>
  <c r="F668" i="2" s="1"/>
  <c r="E667" i="2"/>
  <c r="F667" i="2" s="1"/>
  <c r="P659" i="2"/>
  <c r="E655" i="2"/>
  <c r="F655" i="2" s="1"/>
  <c r="L662" i="2" l="1"/>
  <c r="J670" i="2"/>
  <c r="M660" i="2"/>
  <c r="J666" i="2"/>
  <c r="J664" i="2"/>
  <c r="M664" i="2"/>
  <c r="L655" i="2"/>
  <c r="J656" i="2"/>
  <c r="M656" i="2"/>
  <c r="M657" i="2"/>
  <c r="J658" i="2"/>
  <c r="M669" i="2"/>
  <c r="M665" i="2"/>
  <c r="M661" i="2"/>
  <c r="M670" i="2"/>
  <c r="L669" i="2"/>
  <c r="M666" i="2"/>
  <c r="L665" i="2"/>
  <c r="M662" i="2"/>
  <c r="L661" i="2"/>
  <c r="M658" i="2"/>
  <c r="L657" i="2"/>
  <c r="J715" i="2" l="1"/>
  <c r="J716" i="2"/>
  <c r="J717" i="2"/>
  <c r="J718" i="2"/>
  <c r="J719" i="2"/>
  <c r="J720" i="2"/>
  <c r="J721" i="2"/>
  <c r="J722" i="2"/>
  <c r="J723" i="2"/>
  <c r="E723" i="2"/>
  <c r="F723" i="2" s="1"/>
  <c r="E722" i="2"/>
  <c r="F722" i="2" s="1"/>
  <c r="E721" i="2"/>
  <c r="F721" i="2" s="1"/>
  <c r="E717" i="2"/>
  <c r="F717" i="2" s="1"/>
  <c r="E716" i="2"/>
  <c r="F716" i="2" s="1"/>
  <c r="E720" i="2"/>
  <c r="F720" i="2" s="1"/>
  <c r="E719" i="2"/>
  <c r="F719" i="2" s="1"/>
  <c r="E718" i="2"/>
  <c r="F718" i="2" s="1"/>
  <c r="E715" i="2"/>
  <c r="F715" i="2" s="1"/>
  <c r="S710" i="2"/>
  <c r="S724" i="2"/>
  <c r="J711" i="2"/>
  <c r="J712" i="2"/>
  <c r="J713" i="2"/>
  <c r="J714" i="2"/>
  <c r="E714" i="2"/>
  <c r="F714" i="2" s="1"/>
  <c r="E713" i="2"/>
  <c r="F713" i="2" s="1"/>
  <c r="E712" i="2"/>
  <c r="F712" i="2" s="1"/>
  <c r="E711" i="2"/>
  <c r="F711" i="2" s="1"/>
  <c r="E666" i="2"/>
  <c r="F666" i="2" s="1"/>
  <c r="M723" i="2" l="1"/>
  <c r="M722" i="2"/>
  <c r="M721" i="2"/>
  <c r="M720" i="2"/>
  <c r="M719" i="2"/>
  <c r="M718" i="2"/>
  <c r="M717" i="2"/>
  <c r="M716" i="2"/>
  <c r="M715" i="2"/>
  <c r="L723" i="2"/>
  <c r="L722" i="2"/>
  <c r="L721" i="2"/>
  <c r="L720" i="2"/>
  <c r="L719" i="2"/>
  <c r="L718" i="2"/>
  <c r="L717" i="2"/>
  <c r="L716" i="2"/>
  <c r="L715" i="2"/>
  <c r="M714" i="2"/>
  <c r="M713" i="2"/>
  <c r="M712" i="2"/>
  <c r="M711" i="2"/>
  <c r="L714" i="2"/>
  <c r="L713" i="2"/>
  <c r="L712" i="2"/>
  <c r="L711" i="2"/>
  <c r="J695" i="2"/>
  <c r="J696" i="2"/>
  <c r="E739" i="2"/>
  <c r="F739" i="2" s="1"/>
  <c r="S739" i="2"/>
  <c r="J734" i="2"/>
  <c r="J735" i="2"/>
  <c r="J736" i="2"/>
  <c r="J737" i="2"/>
  <c r="J738" i="2"/>
  <c r="E735" i="2"/>
  <c r="F735" i="2" s="1"/>
  <c r="E736" i="2"/>
  <c r="F736" i="2" s="1"/>
  <c r="E737" i="2"/>
  <c r="F737" i="2" s="1"/>
  <c r="E738" i="2"/>
  <c r="F738" i="2" s="1"/>
  <c r="E734" i="2"/>
  <c r="F734" i="2" s="1"/>
  <c r="E733" i="2"/>
  <c r="F733" i="2" s="1"/>
  <c r="E727" i="2"/>
  <c r="F727" i="2" s="1"/>
  <c r="E726" i="2"/>
  <c r="F726" i="2" s="1"/>
  <c r="L725" i="2"/>
  <c r="M726" i="2"/>
  <c r="J727" i="2"/>
  <c r="J728" i="2"/>
  <c r="L729" i="2"/>
  <c r="M730" i="2"/>
  <c r="J731" i="2"/>
  <c r="E729" i="2"/>
  <c r="F729" i="2" s="1"/>
  <c r="E730" i="2"/>
  <c r="F730" i="2" s="1"/>
  <c r="E731" i="2"/>
  <c r="F731" i="2" s="1"/>
  <c r="M696" i="2" l="1"/>
  <c r="M695" i="2"/>
  <c r="L696" i="2"/>
  <c r="L695" i="2"/>
  <c r="M731" i="2"/>
  <c r="J729" i="2"/>
  <c r="M727" i="2"/>
  <c r="J725" i="2"/>
  <c r="M738" i="2"/>
  <c r="M737" i="2"/>
  <c r="M736" i="2"/>
  <c r="M735" i="2"/>
  <c r="M734" i="2"/>
  <c r="L738" i="2"/>
  <c r="L737" i="2"/>
  <c r="L736" i="2"/>
  <c r="L735" i="2"/>
  <c r="L734" i="2"/>
  <c r="L730" i="2"/>
  <c r="M728" i="2"/>
  <c r="L727" i="2"/>
  <c r="J726" i="2"/>
  <c r="L731" i="2"/>
  <c r="J730" i="2"/>
  <c r="M729" i="2"/>
  <c r="L728" i="2"/>
  <c r="M725" i="2"/>
  <c r="L726" i="2"/>
  <c r="J753" i="2"/>
  <c r="J754" i="2"/>
  <c r="J759" i="2"/>
  <c r="J760" i="2"/>
  <c r="J761" i="2"/>
  <c r="E761" i="2"/>
  <c r="F761" i="2" s="1"/>
  <c r="E760" i="2"/>
  <c r="F760" i="2" s="1"/>
  <c r="E753" i="2"/>
  <c r="F753" i="2" s="1"/>
  <c r="P752" i="2"/>
  <c r="S749" i="2"/>
  <c r="S750" i="2"/>
  <c r="M761" i="2" l="1"/>
  <c r="M760" i="2"/>
  <c r="M759" i="2"/>
  <c r="M754" i="2"/>
  <c r="M753" i="2"/>
  <c r="L761" i="2"/>
  <c r="L760" i="2"/>
  <c r="L759" i="2"/>
  <c r="L754" i="2"/>
  <c r="L753" i="2"/>
  <c r="E884" i="2" l="1"/>
  <c r="F884" i="2" s="1"/>
  <c r="J883" i="2"/>
  <c r="E883" i="2"/>
  <c r="F883" i="2" s="1"/>
  <c r="E882" i="2"/>
  <c r="F882" i="2" s="1"/>
  <c r="E881" i="2"/>
  <c r="F881" i="2" s="1"/>
  <c r="E880" i="2"/>
  <c r="F880" i="2" s="1"/>
  <c r="E879" i="2"/>
  <c r="F879" i="2" s="1"/>
  <c r="E878" i="2"/>
  <c r="F878" i="2" s="1"/>
  <c r="M882" i="2" l="1"/>
  <c r="L882" i="2"/>
  <c r="J880" i="2"/>
  <c r="L880" i="2"/>
  <c r="J881" i="2"/>
  <c r="L881" i="2"/>
  <c r="M883" i="2"/>
  <c r="L883" i="2"/>
  <c r="J882" i="2"/>
  <c r="M881" i="2"/>
  <c r="M880" i="2"/>
  <c r="E877" i="2"/>
  <c r="F877" i="2" s="1"/>
  <c r="L875" i="2"/>
  <c r="L876" i="2"/>
  <c r="S874" i="2"/>
  <c r="E876" i="2"/>
  <c r="F876" i="2" s="1"/>
  <c r="E875" i="2"/>
  <c r="F875" i="2" s="1"/>
  <c r="E874" i="2"/>
  <c r="F874" i="2" s="1"/>
  <c r="J875" i="2" l="1"/>
  <c r="M875" i="2"/>
  <c r="J876" i="2"/>
  <c r="M876" i="2"/>
  <c r="E873" i="2" l="1"/>
  <c r="F873" i="2" s="1"/>
  <c r="E872" i="2"/>
  <c r="F872" i="2" s="1"/>
  <c r="E871" i="2"/>
  <c r="F871" i="2" s="1"/>
  <c r="E870" i="2"/>
  <c r="F870" i="2" s="1"/>
  <c r="E869" i="2"/>
  <c r="F869" i="2" s="1"/>
  <c r="E868" i="2"/>
  <c r="F868" i="2" s="1"/>
  <c r="S867" i="2" l="1"/>
  <c r="S870" i="2"/>
  <c r="E867" i="2"/>
  <c r="F867" i="2" s="1"/>
  <c r="E866" i="2"/>
  <c r="F866" i="2" s="1"/>
  <c r="E865" i="2"/>
  <c r="F865" i="2" s="1"/>
  <c r="E864" i="2"/>
  <c r="F864" i="2" s="1"/>
  <c r="E863" i="2"/>
  <c r="F863" i="2" s="1"/>
  <c r="E862" i="2"/>
  <c r="F862" i="2" s="1"/>
  <c r="E861" i="2"/>
  <c r="F861" i="2" s="1"/>
  <c r="S856" i="2"/>
  <c r="S861" i="2"/>
  <c r="E860" i="2"/>
  <c r="F860" i="2" s="1"/>
  <c r="E859" i="2"/>
  <c r="F859" i="2" s="1"/>
  <c r="E858" i="2"/>
  <c r="F858" i="2" s="1"/>
  <c r="E856" i="2"/>
  <c r="F856" i="2" s="1"/>
  <c r="E857" i="2"/>
  <c r="F857" i="2" s="1"/>
  <c r="E855" i="2"/>
  <c r="F855" i="2" s="1"/>
  <c r="E854" i="2"/>
  <c r="F854" i="2" s="1"/>
  <c r="E853" i="2"/>
  <c r="F853" i="2" s="1"/>
  <c r="E852" i="2"/>
  <c r="F852" i="2" s="1"/>
  <c r="S849" i="2"/>
  <c r="L851" i="2"/>
  <c r="E851" i="2"/>
  <c r="F851" i="2" s="1"/>
  <c r="E850" i="2"/>
  <c r="F850" i="2" s="1"/>
  <c r="E849" i="2"/>
  <c r="F849" i="2" s="1"/>
  <c r="E848" i="2"/>
  <c r="F848" i="2" s="1"/>
  <c r="E847" i="2"/>
  <c r="F847" i="2" s="1"/>
  <c r="S838" i="2"/>
  <c r="E840" i="2"/>
  <c r="F840" i="2" s="1"/>
  <c r="E839" i="2"/>
  <c r="F839" i="2" s="1"/>
  <c r="E838" i="2"/>
  <c r="F838" i="2" s="1"/>
  <c r="S835" i="2"/>
  <c r="L837" i="2"/>
  <c r="E836" i="2"/>
  <c r="F836" i="2" s="1"/>
  <c r="E837" i="2"/>
  <c r="F837" i="2" s="1"/>
  <c r="E835" i="2"/>
  <c r="F835" i="2" s="1"/>
  <c r="M839" i="2" l="1"/>
  <c r="L839" i="2"/>
  <c r="J859" i="2"/>
  <c r="L859" i="2"/>
  <c r="J864" i="2"/>
  <c r="L864" i="2"/>
  <c r="M858" i="2"/>
  <c r="L858" i="2"/>
  <c r="J863" i="2"/>
  <c r="L863" i="2"/>
  <c r="M857" i="2"/>
  <c r="L857" i="2"/>
  <c r="M866" i="2"/>
  <c r="L866" i="2"/>
  <c r="M862" i="2"/>
  <c r="L862" i="2"/>
  <c r="M836" i="2"/>
  <c r="L836" i="2"/>
  <c r="J840" i="2"/>
  <c r="L840" i="2"/>
  <c r="M850" i="2"/>
  <c r="L850" i="2"/>
  <c r="J860" i="2"/>
  <c r="L860" i="2"/>
  <c r="M865" i="2"/>
  <c r="L865" i="2"/>
  <c r="J866" i="2"/>
  <c r="J862" i="2"/>
  <c r="J865" i="2"/>
  <c r="M863" i="2"/>
  <c r="M864" i="2"/>
  <c r="M859" i="2"/>
  <c r="J858" i="2"/>
  <c r="J857" i="2"/>
  <c r="M860" i="2"/>
  <c r="J850" i="2"/>
  <c r="J851" i="2"/>
  <c r="M851" i="2"/>
  <c r="J839" i="2"/>
  <c r="M840" i="2"/>
  <c r="J836" i="2"/>
  <c r="M837" i="2"/>
  <c r="J837" i="2"/>
  <c r="L834" i="2"/>
  <c r="S830" i="2"/>
  <c r="E834" i="2"/>
  <c r="F834" i="2" s="1"/>
  <c r="E833" i="2"/>
  <c r="F833" i="2" s="1"/>
  <c r="E832" i="2"/>
  <c r="F832" i="2" s="1"/>
  <c r="E831" i="2"/>
  <c r="F831" i="2" s="1"/>
  <c r="E830" i="2"/>
  <c r="F830" i="2" s="1"/>
  <c r="S824" i="2"/>
  <c r="L829" i="2"/>
  <c r="E825" i="2"/>
  <c r="F825" i="2" s="1"/>
  <c r="E826" i="2"/>
  <c r="F826" i="2" s="1"/>
  <c r="E827" i="2"/>
  <c r="F827" i="2" s="1"/>
  <c r="E828" i="2"/>
  <c r="F828" i="2" s="1"/>
  <c r="E829" i="2"/>
  <c r="F829" i="2" s="1"/>
  <c r="E824" i="2"/>
  <c r="F824" i="2" s="1"/>
  <c r="E823" i="2"/>
  <c r="F823" i="2" s="1"/>
  <c r="M825" i="2" l="1"/>
  <c r="L825" i="2"/>
  <c r="J832" i="2"/>
  <c r="L832" i="2"/>
  <c r="M831" i="2"/>
  <c r="L831" i="2"/>
  <c r="M828" i="2"/>
  <c r="L828" i="2"/>
  <c r="J827" i="2"/>
  <c r="L827" i="2"/>
  <c r="J826" i="2"/>
  <c r="L826" i="2"/>
  <c r="J833" i="2"/>
  <c r="L833" i="2"/>
  <c r="M833" i="2"/>
  <c r="M832" i="2"/>
  <c r="J831" i="2"/>
  <c r="J825" i="2"/>
  <c r="J829" i="2"/>
  <c r="M826" i="2"/>
  <c r="M829" i="2"/>
  <c r="J828" i="2"/>
  <c r="M827" i="2"/>
  <c r="E809" i="2"/>
  <c r="F809" i="2" s="1"/>
  <c r="E810" i="2"/>
  <c r="F810" i="2" s="1"/>
  <c r="E811" i="2"/>
  <c r="F811" i="2" s="1"/>
  <c r="E812" i="2"/>
  <c r="F812" i="2" s="1"/>
  <c r="E813" i="2"/>
  <c r="F813" i="2" s="1"/>
  <c r="E814" i="2"/>
  <c r="F814" i="2" s="1"/>
  <c r="E815" i="2"/>
  <c r="F815" i="2" s="1"/>
  <c r="E816" i="2"/>
  <c r="F816" i="2" s="1"/>
  <c r="E817" i="2"/>
  <c r="F817" i="2" s="1"/>
  <c r="E818" i="2"/>
  <c r="F818" i="2" s="1"/>
  <c r="E819" i="2"/>
  <c r="F819" i="2" s="1"/>
  <c r="E820" i="2"/>
  <c r="F820" i="2" s="1"/>
  <c r="E821" i="2"/>
  <c r="F821" i="2" s="1"/>
  <c r="E822" i="2"/>
  <c r="F822" i="2" s="1"/>
  <c r="S814" i="2"/>
  <c r="L821" i="2"/>
  <c r="S809" i="2"/>
  <c r="E808" i="2"/>
  <c r="F808" i="2" s="1"/>
  <c r="E807" i="2"/>
  <c r="F807" i="2" s="1"/>
  <c r="E806" i="2"/>
  <c r="F806" i="2" s="1"/>
  <c r="E805" i="2"/>
  <c r="F805" i="2" s="1"/>
  <c r="E804" i="2"/>
  <c r="F804" i="2" s="1"/>
  <c r="E803" i="2"/>
  <c r="F803" i="2" s="1"/>
  <c r="E802" i="2"/>
  <c r="F802" i="2" s="1"/>
  <c r="E801" i="2"/>
  <c r="F801" i="2" s="1"/>
  <c r="E800" i="2"/>
  <c r="F800" i="2" s="1"/>
  <c r="E799" i="2"/>
  <c r="F799" i="2" s="1"/>
  <c r="E798" i="2"/>
  <c r="F798" i="2" s="1"/>
  <c r="E797" i="2"/>
  <c r="F797" i="2" s="1"/>
  <c r="E796" i="2"/>
  <c r="F796" i="2" s="1"/>
  <c r="E795" i="2"/>
  <c r="F795" i="2" s="1"/>
  <c r="E794" i="2"/>
  <c r="F794" i="2" s="1"/>
  <c r="E793" i="2"/>
  <c r="F793" i="2" s="1"/>
  <c r="E792" i="2"/>
  <c r="F792" i="2" s="1"/>
  <c r="E791" i="2"/>
  <c r="F791" i="2" s="1"/>
  <c r="E790" i="2"/>
  <c r="F790" i="2" s="1"/>
  <c r="E789" i="2"/>
  <c r="F789" i="2" s="1"/>
  <c r="E788" i="2"/>
  <c r="F788" i="2" s="1"/>
  <c r="E787" i="2"/>
  <c r="F787" i="2" s="1"/>
  <c r="E786" i="2"/>
  <c r="F786" i="2" s="1"/>
  <c r="E785" i="2"/>
  <c r="F785" i="2" s="1"/>
  <c r="E784" i="2"/>
  <c r="F784" i="2" s="1"/>
  <c r="E783" i="2"/>
  <c r="F783" i="2" s="1"/>
  <c r="E782" i="2"/>
  <c r="F782" i="2" s="1"/>
  <c r="E781" i="2"/>
  <c r="F781" i="2" s="1"/>
  <c r="E780" i="2"/>
  <c r="F780" i="2" s="1"/>
  <c r="E779" i="2"/>
  <c r="F779" i="2" s="1"/>
  <c r="E778" i="2"/>
  <c r="F778" i="2" s="1"/>
  <c r="E777" i="2"/>
  <c r="F777" i="2" s="1"/>
  <c r="E776" i="2"/>
  <c r="F776" i="2" s="1"/>
  <c r="E775" i="2"/>
  <c r="F775" i="2" s="1"/>
  <c r="E774" i="2"/>
  <c r="F774" i="2" s="1"/>
  <c r="E773" i="2"/>
  <c r="F773" i="2" s="1"/>
  <c r="E772" i="2"/>
  <c r="F772" i="2" s="1"/>
  <c r="E771" i="2"/>
  <c r="F771" i="2" s="1"/>
  <c r="E770" i="2"/>
  <c r="F770" i="2" s="1"/>
  <c r="E769" i="2"/>
  <c r="F769" i="2" s="1"/>
  <c r="E768" i="2"/>
  <c r="F768" i="2" s="1"/>
  <c r="E767" i="2"/>
  <c r="F767" i="2" s="1"/>
  <c r="E766" i="2"/>
  <c r="F766" i="2" s="1"/>
  <c r="E765" i="2"/>
  <c r="F765" i="2" s="1"/>
  <c r="E764" i="2"/>
  <c r="F764" i="2" s="1"/>
  <c r="E762" i="2"/>
  <c r="F762" i="2" s="1"/>
  <c r="E759" i="2"/>
  <c r="F759" i="2" s="1"/>
  <c r="E758" i="2"/>
  <c r="F758" i="2" s="1"/>
  <c r="E757" i="2"/>
  <c r="F757" i="2" s="1"/>
  <c r="E755" i="2"/>
  <c r="F755" i="2" s="1"/>
  <c r="E754" i="2"/>
  <c r="F754" i="2" s="1"/>
  <c r="E752" i="2"/>
  <c r="F752" i="2" s="1"/>
  <c r="E751" i="2"/>
  <c r="F751" i="2" s="1"/>
  <c r="E750" i="2"/>
  <c r="F750" i="2" s="1"/>
  <c r="E749" i="2"/>
  <c r="F749" i="2" s="1"/>
  <c r="E748" i="2"/>
  <c r="F748" i="2" s="1"/>
  <c r="E747" i="2"/>
  <c r="F747" i="2" s="1"/>
  <c r="E746" i="2"/>
  <c r="F746" i="2" s="1"/>
  <c r="E745" i="2"/>
  <c r="F745" i="2" s="1"/>
  <c r="E744" i="2"/>
  <c r="F744" i="2" s="1"/>
  <c r="E743" i="2"/>
  <c r="F743" i="2" s="1"/>
  <c r="E742" i="2"/>
  <c r="F742" i="2" s="1"/>
  <c r="E741" i="2"/>
  <c r="F741" i="2" s="1"/>
  <c r="E740" i="2"/>
  <c r="F740" i="2" s="1"/>
  <c r="E728" i="2"/>
  <c r="F728" i="2" s="1"/>
  <c r="E725" i="2"/>
  <c r="F725" i="2" s="1"/>
  <c r="E724" i="2"/>
  <c r="F724" i="2" s="1"/>
  <c r="E707" i="2"/>
  <c r="F707" i="2" s="1"/>
  <c r="E706" i="2"/>
  <c r="F706" i="2" s="1"/>
  <c r="E705" i="2"/>
  <c r="F705" i="2" s="1"/>
  <c r="E704" i="2"/>
  <c r="F704" i="2" s="1"/>
  <c r="E703" i="2"/>
  <c r="F703" i="2" s="1"/>
  <c r="E702" i="2"/>
  <c r="F702" i="2" s="1"/>
  <c r="E698" i="2"/>
  <c r="F698" i="2" s="1"/>
  <c r="E696" i="2"/>
  <c r="F696" i="2" s="1"/>
  <c r="E695" i="2"/>
  <c r="F695" i="2" s="1"/>
  <c r="E694" i="2"/>
  <c r="F694" i="2" s="1"/>
  <c r="E693" i="2"/>
  <c r="F693" i="2" s="1"/>
  <c r="E665" i="2"/>
  <c r="F665" i="2" s="1"/>
  <c r="E664" i="2"/>
  <c r="F664" i="2" s="1"/>
  <c r="E663" i="2"/>
  <c r="F663" i="2" s="1"/>
  <c r="E662" i="2"/>
  <c r="F662" i="2" s="1"/>
  <c r="E661" i="2"/>
  <c r="F661" i="2" s="1"/>
  <c r="E660" i="2"/>
  <c r="F660" i="2" s="1"/>
  <c r="E659" i="2"/>
  <c r="F659" i="2" s="1"/>
  <c r="E658" i="2"/>
  <c r="F658" i="2" s="1"/>
  <c r="E657" i="2"/>
  <c r="F657" i="2" s="1"/>
  <c r="E656" i="2"/>
  <c r="F656" i="2" s="1"/>
  <c r="E654" i="2"/>
  <c r="F654" i="2" s="1"/>
  <c r="E653" i="2"/>
  <c r="F653" i="2" s="1"/>
  <c r="E763" i="2"/>
  <c r="F763" i="2" s="1"/>
  <c r="B28" i="8"/>
  <c r="S804" i="2"/>
  <c r="S803" i="2"/>
  <c r="S799" i="2"/>
  <c r="L798" i="2"/>
  <c r="S798" i="2"/>
  <c r="S763" i="2"/>
  <c r="L765" i="2"/>
  <c r="S771" i="2"/>
  <c r="L707" i="2" l="1"/>
  <c r="J707" i="2"/>
  <c r="M707" i="2"/>
  <c r="M779" i="2"/>
  <c r="L779" i="2"/>
  <c r="M787" i="2"/>
  <c r="L787" i="2"/>
  <c r="M752" i="2"/>
  <c r="L752" i="2"/>
  <c r="J752" i="2"/>
  <c r="M768" i="2"/>
  <c r="L768" i="2"/>
  <c r="M807" i="2"/>
  <c r="L807" i="2"/>
  <c r="J773" i="2"/>
  <c r="L773" i="2"/>
  <c r="J777" i="2"/>
  <c r="L777" i="2"/>
  <c r="J781" i="2"/>
  <c r="L781" i="2"/>
  <c r="J785" i="2"/>
  <c r="L785" i="2"/>
  <c r="M750" i="2"/>
  <c r="L750" i="2"/>
  <c r="J750" i="2"/>
  <c r="M770" i="2"/>
  <c r="L770" i="2"/>
  <c r="J766" i="2"/>
  <c r="L766" i="2"/>
  <c r="M805" i="2"/>
  <c r="L805" i="2"/>
  <c r="J813" i="2"/>
  <c r="L813" i="2"/>
  <c r="M819" i="2"/>
  <c r="L819" i="2"/>
  <c r="M815" i="2"/>
  <c r="L815" i="2"/>
  <c r="M774" i="2"/>
  <c r="L774" i="2"/>
  <c r="M782" i="2"/>
  <c r="L782" i="2"/>
  <c r="L751" i="2"/>
  <c r="M751" i="2"/>
  <c r="J751" i="2"/>
  <c r="M769" i="2"/>
  <c r="L769" i="2"/>
  <c r="J802" i="2"/>
  <c r="L802" i="2"/>
  <c r="J808" i="2"/>
  <c r="L808" i="2"/>
  <c r="J812" i="2"/>
  <c r="L812" i="2"/>
  <c r="J822" i="2"/>
  <c r="L822" i="2"/>
  <c r="J818" i="2"/>
  <c r="L818" i="2"/>
  <c r="M778" i="2"/>
  <c r="L778" i="2"/>
  <c r="J786" i="2"/>
  <c r="L786" i="2"/>
  <c r="M764" i="2"/>
  <c r="L764" i="2"/>
  <c r="M811" i="2"/>
  <c r="L811" i="2"/>
  <c r="J817" i="2"/>
  <c r="L817" i="2"/>
  <c r="M775" i="2"/>
  <c r="L775" i="2"/>
  <c r="M783" i="2"/>
  <c r="L783" i="2"/>
  <c r="J801" i="2"/>
  <c r="L801" i="2"/>
  <c r="M772" i="2"/>
  <c r="L772" i="2"/>
  <c r="M776" i="2"/>
  <c r="L776" i="2"/>
  <c r="M780" i="2"/>
  <c r="L780" i="2"/>
  <c r="J784" i="2"/>
  <c r="L784" i="2"/>
  <c r="J767" i="2"/>
  <c r="L767" i="2"/>
  <c r="M800" i="2"/>
  <c r="L800" i="2"/>
  <c r="M806" i="2"/>
  <c r="L806" i="2"/>
  <c r="M810" i="2"/>
  <c r="L810" i="2"/>
  <c r="M820" i="2"/>
  <c r="L820" i="2"/>
  <c r="M816" i="2"/>
  <c r="L816" i="2"/>
  <c r="M821" i="2"/>
  <c r="M786" i="2"/>
  <c r="J821" i="2"/>
  <c r="J816" i="2"/>
  <c r="J820" i="2"/>
  <c r="M817" i="2"/>
  <c r="J819" i="2"/>
  <c r="J815" i="2"/>
  <c r="M822" i="2"/>
  <c r="M818" i="2"/>
  <c r="M812" i="2"/>
  <c r="J811" i="2"/>
  <c r="J806" i="2"/>
  <c r="J810" i="2"/>
  <c r="M813" i="2"/>
  <c r="J805" i="2"/>
  <c r="M808" i="2"/>
  <c r="J807" i="2"/>
  <c r="M802" i="2"/>
  <c r="J764" i="2"/>
  <c r="J800" i="2"/>
  <c r="J768" i="2"/>
  <c r="M765" i="2"/>
  <c r="M801" i="2"/>
  <c r="J776" i="2"/>
  <c r="J769" i="2"/>
  <c r="J765" i="2"/>
  <c r="M766" i="2"/>
  <c r="J770" i="2"/>
  <c r="M767" i="2"/>
  <c r="J780" i="2"/>
  <c r="J783" i="2"/>
  <c r="M784" i="2"/>
  <c r="J772" i="2"/>
  <c r="J779" i="2"/>
  <c r="J775" i="2"/>
  <c r="M773" i="2"/>
  <c r="M777" i="2"/>
  <c r="M781" i="2"/>
  <c r="M785" i="2"/>
  <c r="J787" i="2"/>
  <c r="J774" i="2"/>
  <c r="J778" i="2"/>
  <c r="J782" i="2"/>
  <c r="L796" i="2"/>
  <c r="L794" i="2"/>
  <c r="L793" i="2"/>
  <c r="L792" i="2"/>
  <c r="L791" i="2"/>
  <c r="L790" i="2"/>
  <c r="L789" i="2"/>
  <c r="L788" i="2"/>
  <c r="J789" i="2" l="1"/>
  <c r="M789" i="2"/>
  <c r="M790" i="2"/>
  <c r="J790" i="2"/>
  <c r="M794" i="2"/>
  <c r="J794" i="2"/>
  <c r="J793" i="2"/>
  <c r="M793" i="2"/>
  <c r="J791" i="2"/>
  <c r="M791" i="2"/>
  <c r="M788" i="2"/>
  <c r="J788" i="2"/>
  <c r="M792" i="2"/>
  <c r="J792" i="2"/>
  <c r="J796" i="2"/>
  <c r="M796" i="2"/>
  <c r="J236" i="3" l="1"/>
  <c r="H236" i="3"/>
  <c r="L126" i="3" l="1"/>
  <c r="I126" i="3"/>
  <c r="G126" i="3"/>
  <c r="L236" i="3" l="1"/>
  <c r="B41" i="8" l="1"/>
  <c r="B5" i="8"/>
  <c r="B27" i="8"/>
  <c r="B42" i="8"/>
  <c r="B31" i="8"/>
  <c r="B26" i="8"/>
  <c r="L9" i="3"/>
  <c r="A253" i="3"/>
  <c r="B39" i="8"/>
  <c r="I5" i="8"/>
  <c r="B34" i="8"/>
  <c r="B25" i="8"/>
  <c r="B37" i="8"/>
  <c r="B40" i="8"/>
  <c r="B46" i="8"/>
  <c r="B47" i="8"/>
  <c r="B48" i="8"/>
  <c r="B49" i="8"/>
  <c r="B43" i="8"/>
  <c r="B38" i="8"/>
  <c r="B33" i="8"/>
  <c r="B32" i="8"/>
  <c r="B36" i="8"/>
  <c r="B35" i="8"/>
  <c r="B30" i="8"/>
  <c r="B29" i="8"/>
  <c r="I9" i="3"/>
  <c r="I236" i="3" s="1"/>
  <c r="K236" i="3"/>
  <c r="G9" i="3"/>
  <c r="G236" i="3" s="1"/>
  <c r="F236" i="3"/>
  <c r="E236" i="3"/>
  <c r="U10" i="3"/>
  <c r="T10" i="3"/>
  <c r="E10" i="3"/>
  <c r="F10" i="3"/>
  <c r="G10" i="3"/>
  <c r="H10" i="3"/>
  <c r="I10" i="3"/>
  <c r="J10" i="3"/>
  <c r="K10" i="3"/>
  <c r="L10" i="3"/>
  <c r="N10" i="3"/>
  <c r="O10" i="3"/>
  <c r="R10" i="3"/>
  <c r="S10" i="3"/>
  <c r="P10" i="3"/>
  <c r="Q10" i="3"/>
  <c r="O600" i="2" l="1"/>
  <c r="O601" i="2"/>
  <c r="O426" i="2"/>
  <c r="O424" i="2"/>
  <c r="O575" i="2"/>
  <c r="O579" i="2"/>
  <c r="O425" i="2"/>
  <c r="O596" i="2"/>
  <c r="O595" i="2"/>
  <c r="O105" i="2"/>
  <c r="O106" i="2"/>
  <c r="O129" i="2"/>
  <c r="T129" i="2" s="1"/>
  <c r="O132" i="2"/>
  <c r="O292" i="2"/>
  <c r="O288" i="2"/>
  <c r="O4" i="2"/>
  <c r="O10" i="2"/>
  <c r="O103" i="2"/>
  <c r="O104" i="2"/>
  <c r="O102" i="2"/>
  <c r="O420" i="2"/>
  <c r="O450" i="2"/>
  <c r="O455" i="2"/>
  <c r="O447" i="2"/>
  <c r="T447" i="2" s="1"/>
  <c r="O438" i="2"/>
  <c r="O439" i="2"/>
  <c r="O443" i="2"/>
  <c r="O430" i="2"/>
  <c r="O56" i="2"/>
  <c r="O55" i="2"/>
  <c r="O48" i="2"/>
  <c r="O677" i="2"/>
  <c r="T677" i="2" s="1"/>
  <c r="O690" i="2"/>
  <c r="O692" i="2"/>
  <c r="O691" i="2"/>
  <c r="O693" i="2"/>
  <c r="O674" i="2"/>
  <c r="O681" i="2"/>
  <c r="O688" i="2"/>
  <c r="O689" i="2"/>
  <c r="T689" i="2" s="1"/>
  <c r="O682" i="2"/>
  <c r="O647" i="2"/>
  <c r="T647" i="2" s="1"/>
  <c r="O649" i="2"/>
  <c r="T649" i="2" s="1"/>
  <c r="O645" i="2"/>
  <c r="T645" i="2" s="1"/>
  <c r="O648" i="2"/>
  <c r="T648" i="2" s="1"/>
  <c r="O633" i="2"/>
  <c r="O630" i="2"/>
  <c r="O625" i="2"/>
  <c r="O685" i="2"/>
  <c r="O673" i="2"/>
  <c r="T673" i="2" s="1"/>
  <c r="O230" i="3" a="1"/>
  <c r="O230" i="3" s="1"/>
  <c r="O228" i="3" a="1"/>
  <c r="O228" i="3" s="1"/>
  <c r="O226" i="3" a="1"/>
  <c r="O226" i="3" s="1"/>
  <c r="O224" i="3" a="1"/>
  <c r="O224" i="3" s="1"/>
  <c r="O222" i="3" a="1"/>
  <c r="O222" i="3" s="1"/>
  <c r="O220" i="3" a="1"/>
  <c r="O220" i="3" s="1"/>
  <c r="O218" i="3" a="1"/>
  <c r="O218" i="3" s="1"/>
  <c r="O216" i="3" a="1"/>
  <c r="O216" i="3" s="1"/>
  <c r="O214" i="3" a="1"/>
  <c r="O214" i="3" s="1"/>
  <c r="O192" i="3" a="1"/>
  <c r="O192" i="3" s="1"/>
  <c r="O190" i="3" a="1"/>
  <c r="O190" i="3" s="1"/>
  <c r="O188" i="3" a="1"/>
  <c r="O188" i="3" s="1"/>
  <c r="O229" i="3" a="1"/>
  <c r="O229" i="3" s="1"/>
  <c r="O227" i="3" a="1"/>
  <c r="O227" i="3" s="1"/>
  <c r="O225" i="3" a="1"/>
  <c r="O225" i="3" s="1"/>
  <c r="O223" i="3" a="1"/>
  <c r="O223" i="3" s="1"/>
  <c r="O221" i="3" a="1"/>
  <c r="O221" i="3" s="1"/>
  <c r="O219" i="3" a="1"/>
  <c r="O219" i="3" s="1"/>
  <c r="O217" i="3" a="1"/>
  <c r="O217" i="3" s="1"/>
  <c r="O215" i="3" a="1"/>
  <c r="O215" i="3" s="1"/>
  <c r="O191" i="3" a="1"/>
  <c r="O191" i="3" s="1"/>
  <c r="O189" i="3" a="1"/>
  <c r="O189" i="3" s="1"/>
  <c r="O187" i="3" a="1"/>
  <c r="O187" i="3" s="1"/>
  <c r="O176" i="3" a="1"/>
  <c r="O176" i="3" s="1"/>
  <c r="O174" i="3" a="1"/>
  <c r="O174" i="3" s="1"/>
  <c r="O172" i="3" a="1"/>
  <c r="O172" i="3" s="1"/>
  <c r="O170" i="3" a="1"/>
  <c r="O170" i="3" s="1"/>
  <c r="O167" i="3" a="1"/>
  <c r="O167" i="3" s="1"/>
  <c r="O165" i="3" a="1"/>
  <c r="O165" i="3" s="1"/>
  <c r="O163" i="3" a="1"/>
  <c r="O163" i="3" s="1"/>
  <c r="O160" i="3" a="1"/>
  <c r="O160" i="3" s="1"/>
  <c r="O154" i="3" a="1"/>
  <c r="O154" i="3" s="1"/>
  <c r="O148" i="3" a="1"/>
  <c r="O148" i="3" s="1"/>
  <c r="O142" i="3" a="1"/>
  <c r="O142" i="3" s="1"/>
  <c r="O136" i="3" a="1"/>
  <c r="O136" i="3" s="1"/>
  <c r="O133" i="3" a="1"/>
  <c r="O133" i="3" s="1"/>
  <c r="O231" i="3" a="1"/>
  <c r="O231" i="3" s="1"/>
  <c r="O213" i="3" a="1"/>
  <c r="O213" i="3" s="1"/>
  <c r="O209" i="3" a="1"/>
  <c r="O209" i="3" s="1"/>
  <c r="O204" i="3" a="1"/>
  <c r="O204" i="3" s="1"/>
  <c r="O200" i="3" a="1"/>
  <c r="O200" i="3" s="1"/>
  <c r="O196" i="3" a="1"/>
  <c r="O196" i="3" s="1"/>
  <c r="O184" i="3" a="1"/>
  <c r="O184" i="3" s="1"/>
  <c r="O179" i="3" a="1"/>
  <c r="O179" i="3" s="1"/>
  <c r="O173" i="3" a="1"/>
  <c r="O173" i="3" s="1"/>
  <c r="O164" i="3" a="1"/>
  <c r="O164" i="3" s="1"/>
  <c r="O161" i="3" a="1"/>
  <c r="O161" i="3" s="1"/>
  <c r="O156" i="3" a="1"/>
  <c r="O156" i="3" s="1"/>
  <c r="O152" i="3" a="1"/>
  <c r="O152" i="3" s="1"/>
  <c r="O149" i="3" a="1"/>
  <c r="O149" i="3" s="1"/>
  <c r="O144" i="3" a="1"/>
  <c r="O144" i="3" s="1"/>
  <c r="O140" i="3" a="1"/>
  <c r="O140" i="3" s="1"/>
  <c r="O132" i="3" a="1"/>
  <c r="O132" i="3" s="1"/>
  <c r="O206" i="3" a="1"/>
  <c r="O206" i="3" s="1"/>
  <c r="O197" i="3" a="1"/>
  <c r="O197" i="3" s="1"/>
  <c r="O182" i="3" a="1"/>
  <c r="O182" i="3" s="1"/>
  <c r="O177" i="3" a="1"/>
  <c r="O177" i="3" s="1"/>
  <c r="O171" i="3" a="1"/>
  <c r="O171" i="3" s="1"/>
  <c r="O157" i="3" a="1"/>
  <c r="O157" i="3" s="1"/>
  <c r="O141" i="3" a="1"/>
  <c r="O141" i="3" s="1"/>
  <c r="O212" i="3" a="1"/>
  <c r="O212" i="3" s="1"/>
  <c r="O208" i="3" a="1"/>
  <c r="O208" i="3" s="1"/>
  <c r="O203" i="3" a="1"/>
  <c r="O203" i="3" s="1"/>
  <c r="O199" i="3" a="1"/>
  <c r="O199" i="3" s="1"/>
  <c r="O195" i="3" a="1"/>
  <c r="O195" i="3" s="1"/>
  <c r="O181" i="3" a="1"/>
  <c r="O181" i="3" s="1"/>
  <c r="O178" i="3" a="1"/>
  <c r="O178" i="3" s="1"/>
  <c r="O175" i="3" a="1"/>
  <c r="O175" i="3" s="1"/>
  <c r="O166" i="3" a="1"/>
  <c r="O166" i="3" s="1"/>
  <c r="O159" i="3" a="1"/>
  <c r="O159" i="3" s="1"/>
  <c r="O151" i="3" a="1"/>
  <c r="O151" i="3" s="1"/>
  <c r="O139" i="3" a="1"/>
  <c r="O139" i="3" s="1"/>
  <c r="O131" i="3" a="1"/>
  <c r="O131" i="3" s="1"/>
  <c r="O211" i="3" a="1"/>
  <c r="O211" i="3" s="1"/>
  <c r="O207" i="3" a="1"/>
  <c r="O207" i="3" s="1"/>
  <c r="O202" i="3" a="1"/>
  <c r="O202" i="3" s="1"/>
  <c r="O198" i="3" a="1"/>
  <c r="O198" i="3" s="1"/>
  <c r="O194" i="3" a="1"/>
  <c r="O194" i="3" s="1"/>
  <c r="O186" i="3" a="1"/>
  <c r="O186" i="3" s="1"/>
  <c r="O183" i="3" a="1"/>
  <c r="O183" i="3" s="1"/>
  <c r="O180" i="3" a="1"/>
  <c r="O180" i="3" s="1"/>
  <c r="O169" i="3" a="1"/>
  <c r="O169" i="3" s="1"/>
  <c r="O158" i="3" a="1"/>
  <c r="O158" i="3" s="1"/>
  <c r="O155" i="3" a="1"/>
  <c r="O155" i="3" s="1"/>
  <c r="O150" i="3" a="1"/>
  <c r="O150" i="3" s="1"/>
  <c r="O147" i="3" a="1"/>
  <c r="O147" i="3" s="1"/>
  <c r="O143" i="3" a="1"/>
  <c r="O143" i="3" s="1"/>
  <c r="O138" i="3" a="1"/>
  <c r="O138" i="3" s="1"/>
  <c r="O135" i="3" a="1"/>
  <c r="O135" i="3" s="1"/>
  <c r="O210" i="3" a="1"/>
  <c r="O210" i="3" s="1"/>
  <c r="O201" i="3" a="1"/>
  <c r="O201" i="3" s="1"/>
  <c r="O193" i="3" a="1"/>
  <c r="O193" i="3" s="1"/>
  <c r="O185" i="3" a="1"/>
  <c r="O185" i="3" s="1"/>
  <c r="O162" i="3" a="1"/>
  <c r="O162" i="3" s="1"/>
  <c r="O153" i="3" a="1"/>
  <c r="O153" i="3" s="1"/>
  <c r="O146" i="3" a="1"/>
  <c r="O146" i="3" s="1"/>
  <c r="O137" i="3" a="1"/>
  <c r="O137" i="3" s="1"/>
  <c r="H46" i="8"/>
  <c r="H44" i="8"/>
  <c r="D44" i="8" a="1"/>
  <c r="D44" i="8" s="1"/>
  <c r="F44" i="8"/>
  <c r="P213" i="3" a="1"/>
  <c r="P213" i="3" s="1"/>
  <c r="P204" i="3" a="1"/>
  <c r="P204" i="3" s="1"/>
  <c r="P196" i="3" a="1"/>
  <c r="P196" i="3" s="1"/>
  <c r="P181" i="3" a="1"/>
  <c r="P181" i="3" s="1"/>
  <c r="P146" i="3" a="1"/>
  <c r="P146" i="3" s="1"/>
  <c r="N208" i="3" a="1"/>
  <c r="N208" i="3" s="1"/>
  <c r="N199" i="3" a="1"/>
  <c r="N199" i="3" s="1"/>
  <c r="P210" i="3" a="1"/>
  <c r="P210" i="3" s="1"/>
  <c r="P201" i="3" a="1"/>
  <c r="P201" i="3" s="1"/>
  <c r="P184" i="3" a="1"/>
  <c r="P184" i="3" s="1"/>
  <c r="P156" i="3" a="1"/>
  <c r="P156" i="3" s="1"/>
  <c r="N211" i="3" a="1"/>
  <c r="N211" i="3" s="1"/>
  <c r="N202" i="3" a="1"/>
  <c r="N202" i="3" s="1"/>
  <c r="N194" i="3" a="1"/>
  <c r="N194" i="3" s="1"/>
  <c r="N179" i="3" a="1"/>
  <c r="N179" i="3" s="1"/>
  <c r="N139" i="3" a="1"/>
  <c r="N139" i="3" s="1"/>
  <c r="P224" i="3" a="1"/>
  <c r="P224" i="3" s="1"/>
  <c r="P216" i="3" a="1"/>
  <c r="P216" i="3" s="1"/>
  <c r="P175" i="3" a="1"/>
  <c r="P175" i="3" s="1"/>
  <c r="P166" i="3" a="1"/>
  <c r="P166" i="3" s="1"/>
  <c r="N229" i="3" a="1"/>
  <c r="N229" i="3" s="1"/>
  <c r="P187" i="3" a="1"/>
  <c r="P187" i="3" s="1"/>
  <c r="N226" i="3" a="1"/>
  <c r="N226" i="3" s="1"/>
  <c r="N188" i="3" a="1"/>
  <c r="N188" i="3" s="1"/>
  <c r="N167" i="3" a="1"/>
  <c r="N167" i="3" s="1"/>
  <c r="N189" i="3" a="1"/>
  <c r="N189" i="3" s="1"/>
  <c r="P227" i="3" a="1"/>
  <c r="P227" i="3" s="1"/>
  <c r="N225" i="3" a="1"/>
  <c r="N225" i="3" s="1"/>
  <c r="N187" i="3" a="1"/>
  <c r="N187" i="3" s="1"/>
  <c r="N164" i="3" a="1"/>
  <c r="N164" i="3" s="1"/>
  <c r="N136" i="3" a="1"/>
  <c r="N136" i="3" s="1"/>
  <c r="P174" i="3" a="1"/>
  <c r="P174" i="3" s="1"/>
  <c r="N220" i="3" a="1"/>
  <c r="N220" i="3" s="1"/>
  <c r="N175" i="3" a="1"/>
  <c r="N175" i="3" s="1"/>
  <c r="P223" i="3" a="1"/>
  <c r="P223" i="3" s="1"/>
  <c r="P163" i="3" a="1"/>
  <c r="P163" i="3" s="1"/>
  <c r="N174" i="3" a="1"/>
  <c r="N174" i="3" s="1"/>
  <c r="P198" i="3" a="1"/>
  <c r="P198" i="3" s="1"/>
  <c r="N210" i="3" a="1"/>
  <c r="N210" i="3" s="1"/>
  <c r="N201" i="3" a="1"/>
  <c r="N201" i="3" s="1"/>
  <c r="P195" i="3" a="1"/>
  <c r="P195" i="3" s="1"/>
  <c r="N204" i="3" a="1"/>
  <c r="N204" i="3" s="1"/>
  <c r="N146" i="3" a="1"/>
  <c r="N146" i="3" s="1"/>
  <c r="P188" i="3" a="1"/>
  <c r="P188" i="3" s="1"/>
  <c r="P221" i="3" a="1"/>
  <c r="P221" i="3" s="1"/>
  <c r="N171" i="3" a="1"/>
  <c r="N171" i="3" s="1"/>
  <c r="P167" i="3" a="1"/>
  <c r="P167" i="3" s="1"/>
  <c r="N144" i="3" a="1"/>
  <c r="N144" i="3" s="1"/>
  <c r="N178" i="3" a="1"/>
  <c r="N178" i="3" s="1"/>
  <c r="N180" i="3" a="1"/>
  <c r="N180" i="3" s="1"/>
  <c r="P211" i="3" a="1"/>
  <c r="P211" i="3" s="1"/>
  <c r="P202" i="3" a="1"/>
  <c r="P202" i="3" s="1"/>
  <c r="P194" i="3" a="1"/>
  <c r="P194" i="3" s="1"/>
  <c r="P179" i="3" a="1"/>
  <c r="P179" i="3" s="1"/>
  <c r="P139" i="3" a="1"/>
  <c r="P139" i="3" s="1"/>
  <c r="N206" i="3" a="1"/>
  <c r="N206" i="3" s="1"/>
  <c r="N197" i="3" a="1"/>
  <c r="N197" i="3" s="1"/>
  <c r="P208" i="3" a="1"/>
  <c r="P208" i="3" s="1"/>
  <c r="P199" i="3" a="1"/>
  <c r="P199" i="3" s="1"/>
  <c r="P182" i="3" a="1"/>
  <c r="P182" i="3" s="1"/>
  <c r="P150" i="3" a="1"/>
  <c r="P150" i="3" s="1"/>
  <c r="N209" i="3" a="1"/>
  <c r="N209" i="3" s="1"/>
  <c r="N200" i="3" a="1"/>
  <c r="N200" i="3" s="1"/>
  <c r="N185" i="3" a="1"/>
  <c r="N185" i="3" s="1"/>
  <c r="N157" i="3" a="1"/>
  <c r="N157" i="3" s="1"/>
  <c r="P230" i="3" a="1"/>
  <c r="P230" i="3" s="1"/>
  <c r="P222" i="3" a="1"/>
  <c r="P222" i="3" s="1"/>
  <c r="P192" i="3" a="1"/>
  <c r="P192" i="3" s="1"/>
  <c r="P173" i="3" a="1"/>
  <c r="P173" i="3" s="1"/>
  <c r="P164" i="3" a="1"/>
  <c r="P164" i="3" s="1"/>
  <c r="N227" i="3" a="1"/>
  <c r="N227" i="3" s="1"/>
  <c r="P170" i="3" a="1"/>
  <c r="P170" i="3" s="1"/>
  <c r="N222" i="3" a="1"/>
  <c r="N222" i="3" s="1"/>
  <c r="N182" i="3" a="1"/>
  <c r="N182" i="3" s="1"/>
  <c r="N165" i="3" a="1"/>
  <c r="N165" i="3" s="1"/>
  <c r="P219" i="3" a="1"/>
  <c r="P219" i="3" s="1"/>
  <c r="N221" i="3" a="1"/>
  <c r="N221" i="3" s="1"/>
  <c r="N184" i="3" a="1"/>
  <c r="N184" i="3" s="1"/>
  <c r="N156" i="3" a="1"/>
  <c r="N156" i="3" s="1"/>
  <c r="P225" i="3" a="1"/>
  <c r="P225" i="3" s="1"/>
  <c r="P165" i="3" a="1"/>
  <c r="P165" i="3" s="1"/>
  <c r="N216" i="3" a="1"/>
  <c r="N216" i="3" s="1"/>
  <c r="N172" i="3" a="1"/>
  <c r="N172" i="3" s="1"/>
  <c r="P215" i="3" a="1"/>
  <c r="P215" i="3" s="1"/>
  <c r="N228" i="3" a="1"/>
  <c r="N228" i="3" s="1"/>
  <c r="N169" i="3" a="1"/>
  <c r="N169" i="3" s="1"/>
  <c r="P183" i="3" a="1"/>
  <c r="P183" i="3" s="1"/>
  <c r="P212" i="3" a="1"/>
  <c r="P212" i="3" s="1"/>
  <c r="N213" i="3" a="1"/>
  <c r="N213" i="3" s="1"/>
  <c r="N181" i="3" a="1"/>
  <c r="N181" i="3" s="1"/>
  <c r="P218" i="3" a="1"/>
  <c r="P218" i="3" s="1"/>
  <c r="P135" i="3" a="1"/>
  <c r="P135" i="3" s="1"/>
  <c r="N192" i="3" a="1"/>
  <c r="N192" i="3" s="1"/>
  <c r="N135" i="3" a="1"/>
  <c r="N135" i="3" s="1"/>
  <c r="N170" i="3" a="1"/>
  <c r="N170" i="3" s="1"/>
  <c r="N224" i="3" a="1"/>
  <c r="N224" i="3" s="1"/>
  <c r="P172" i="3" a="1"/>
  <c r="P172" i="3" s="1"/>
  <c r="P209" i="3" a="1"/>
  <c r="P209" i="3" s="1"/>
  <c r="P200" i="3" a="1"/>
  <c r="P200" i="3" s="1"/>
  <c r="P185" i="3" a="1"/>
  <c r="P185" i="3" s="1"/>
  <c r="P157" i="3" a="1"/>
  <c r="P157" i="3" s="1"/>
  <c r="N212" i="3" a="1"/>
  <c r="N212" i="3" s="1"/>
  <c r="N203" i="3" a="1"/>
  <c r="N203" i="3" s="1"/>
  <c r="N195" i="3" a="1"/>
  <c r="N195" i="3" s="1"/>
  <c r="P206" i="3" a="1"/>
  <c r="P206" i="3" s="1"/>
  <c r="P197" i="3" a="1"/>
  <c r="P197" i="3" s="1"/>
  <c r="P180" i="3" a="1"/>
  <c r="P180" i="3" s="1"/>
  <c r="P144" i="3" a="1"/>
  <c r="P144" i="3" s="1"/>
  <c r="N207" i="3" a="1"/>
  <c r="N207" i="3" s="1"/>
  <c r="N198" i="3" a="1"/>
  <c r="N198" i="3" s="1"/>
  <c r="N183" i="3" a="1"/>
  <c r="N183" i="3" s="1"/>
  <c r="N151" i="3" a="1"/>
  <c r="N151" i="3" s="1"/>
  <c r="P228" i="3" a="1"/>
  <c r="P228" i="3" s="1"/>
  <c r="P220" i="3" a="1"/>
  <c r="P220" i="3" s="1"/>
  <c r="P190" i="3" a="1"/>
  <c r="P190" i="3" s="1"/>
  <c r="P171" i="3" a="1"/>
  <c r="P171" i="3" s="1"/>
  <c r="P137" i="3" a="1"/>
  <c r="P137" i="3" s="1"/>
  <c r="P229" i="3" a="1"/>
  <c r="P229" i="3" s="1"/>
  <c r="P148" i="3" a="1"/>
  <c r="P148" i="3" s="1"/>
  <c r="N218" i="3" a="1"/>
  <c r="N218" i="3" s="1"/>
  <c r="N176" i="3" a="1"/>
  <c r="N176" i="3" s="1"/>
  <c r="N223" i="3" a="1"/>
  <c r="N223" i="3" s="1"/>
  <c r="N150" i="3" a="1"/>
  <c r="N150" i="3" s="1"/>
  <c r="P176" i="3" a="1"/>
  <c r="P176" i="3" s="1"/>
  <c r="N217" i="3" a="1"/>
  <c r="N217" i="3" s="1"/>
  <c r="N173" i="3" a="1"/>
  <c r="N173" i="3" s="1"/>
  <c r="N148" i="3" a="1"/>
  <c r="N148" i="3" s="1"/>
  <c r="P217" i="3" a="1"/>
  <c r="P217" i="3" s="1"/>
  <c r="N230" i="3" a="1"/>
  <c r="N230" i="3" s="1"/>
  <c r="N190" i="3" a="1"/>
  <c r="N190" i="3" s="1"/>
  <c r="P189" i="3" a="1"/>
  <c r="P189" i="3" s="1"/>
  <c r="N219" i="3" a="1"/>
  <c r="N219" i="3" s="1"/>
  <c r="P207" i="3" a="1"/>
  <c r="P207" i="3" s="1"/>
  <c r="P151" i="3" a="1"/>
  <c r="P151" i="3" s="1"/>
  <c r="P203" i="3" a="1"/>
  <c r="P203" i="3" s="1"/>
  <c r="P178" i="3" a="1"/>
  <c r="P178" i="3" s="1"/>
  <c r="N196" i="3" a="1"/>
  <c r="N196" i="3" s="1"/>
  <c r="P226" i="3" a="1"/>
  <c r="P226" i="3" s="1"/>
  <c r="P169" i="3" a="1"/>
  <c r="P169" i="3" s="1"/>
  <c r="P136" i="3" a="1"/>
  <c r="P136" i="3" s="1"/>
  <c r="N215" i="3" a="1"/>
  <c r="N215" i="3" s="1"/>
  <c r="N191" i="3" a="1"/>
  <c r="N191" i="3" s="1"/>
  <c r="P191" i="3" a="1"/>
  <c r="P191" i="3" s="1"/>
  <c r="N163" i="3" a="1"/>
  <c r="N163" i="3" s="1"/>
  <c r="Q229" i="3" a="1"/>
  <c r="Q229" i="3" s="1"/>
  <c r="Q227" i="3" a="1"/>
  <c r="Q227" i="3" s="1"/>
  <c r="Q225" i="3" a="1"/>
  <c r="Q225" i="3" s="1"/>
  <c r="Q223" i="3" a="1"/>
  <c r="Q223" i="3" s="1"/>
  <c r="Q221" i="3" a="1"/>
  <c r="Q221" i="3" s="1"/>
  <c r="Q219" i="3" a="1"/>
  <c r="Q219" i="3" s="1"/>
  <c r="Q217" i="3" a="1"/>
  <c r="Q217" i="3" s="1"/>
  <c r="Q215" i="3" a="1"/>
  <c r="Q215" i="3" s="1"/>
  <c r="Q191" i="3" a="1"/>
  <c r="Q191" i="3" s="1"/>
  <c r="Q189" i="3" a="1"/>
  <c r="Q189" i="3" s="1"/>
  <c r="Q187" i="3" a="1"/>
  <c r="Q187" i="3" s="1"/>
  <c r="Q176" i="3" a="1"/>
  <c r="Q176" i="3" s="1"/>
  <c r="Q174" i="3" a="1"/>
  <c r="Q174" i="3" s="1"/>
  <c r="Q172" i="3" a="1"/>
  <c r="Q172" i="3" s="1"/>
  <c r="Q170" i="3" a="1"/>
  <c r="Q170" i="3" s="1"/>
  <c r="Q167" i="3" a="1"/>
  <c r="Q167" i="3" s="1"/>
  <c r="Q165" i="3" a="1"/>
  <c r="Q165" i="3" s="1"/>
  <c r="Q163" i="3" a="1"/>
  <c r="Q163" i="3" s="1"/>
  <c r="Q160" i="3" a="1"/>
  <c r="Q160" i="3" s="1"/>
  <c r="Q154" i="3" a="1"/>
  <c r="Q154" i="3" s="1"/>
  <c r="Q148" i="3" a="1"/>
  <c r="Q148" i="3" s="1"/>
  <c r="Q142" i="3" a="1"/>
  <c r="Q142" i="3" s="1"/>
  <c r="Q136" i="3" a="1"/>
  <c r="Q136" i="3" s="1"/>
  <c r="Q133" i="3" a="1"/>
  <c r="Q133" i="3" s="1"/>
  <c r="Q231" i="3" a="1"/>
  <c r="Q231" i="3" s="1"/>
  <c r="Q230" i="3" a="1"/>
  <c r="Q230" i="3" s="1"/>
  <c r="Q228" i="3" a="1"/>
  <c r="Q228" i="3" s="1"/>
  <c r="Q226" i="3" a="1"/>
  <c r="Q226" i="3" s="1"/>
  <c r="Q224" i="3" a="1"/>
  <c r="Q224" i="3" s="1"/>
  <c r="Q222" i="3" a="1"/>
  <c r="Q222" i="3" s="1"/>
  <c r="Q220" i="3" a="1"/>
  <c r="Q220" i="3" s="1"/>
  <c r="Q218" i="3" a="1"/>
  <c r="Q218" i="3" s="1"/>
  <c r="Q216" i="3" a="1"/>
  <c r="Q216" i="3" s="1"/>
  <c r="Q214" i="3" a="1"/>
  <c r="Q214" i="3" s="1"/>
  <c r="Q192" i="3" a="1"/>
  <c r="Q192" i="3" s="1"/>
  <c r="Q190" i="3" a="1"/>
  <c r="Q190" i="3" s="1"/>
  <c r="Q188" i="3" a="1"/>
  <c r="Q188" i="3" s="1"/>
  <c r="Q186" i="3" a="1"/>
  <c r="Q186" i="3" s="1"/>
  <c r="Q175" i="3" a="1"/>
  <c r="Q175" i="3" s="1"/>
  <c r="Q173" i="3" a="1"/>
  <c r="Q173" i="3" s="1"/>
  <c r="Q171" i="3" a="1"/>
  <c r="Q171" i="3" s="1"/>
  <c r="Q169" i="3" a="1"/>
  <c r="Q169" i="3" s="1"/>
  <c r="Q166" i="3" a="1"/>
  <c r="Q166" i="3" s="1"/>
  <c r="Q164" i="3" a="1"/>
  <c r="Q164" i="3" s="1"/>
  <c r="Q162" i="3" a="1"/>
  <c r="Q162" i="3" s="1"/>
  <c r="Q158" i="3" a="1"/>
  <c r="Q158" i="3" s="1"/>
  <c r="Q152" i="3" a="1"/>
  <c r="Q152" i="3" s="1"/>
  <c r="Q147" i="3" a="1"/>
  <c r="Q147" i="3" s="1"/>
  <c r="Q140" i="3" a="1"/>
  <c r="Q140" i="3" s="1"/>
  <c r="Q137" i="3" a="1"/>
  <c r="Q137" i="3" s="1"/>
  <c r="Q135" i="3" a="1"/>
  <c r="Q135" i="3" s="1"/>
  <c r="Q131" i="3" a="1"/>
  <c r="Q131" i="3" s="1"/>
  <c r="Q213" i="3" a="1"/>
  <c r="Q213" i="3" s="1"/>
  <c r="Q211" i="3" a="1"/>
  <c r="Q211" i="3" s="1"/>
  <c r="Q209" i="3" a="1"/>
  <c r="Q209" i="3" s="1"/>
  <c r="Q207" i="3" a="1"/>
  <c r="Q207" i="3" s="1"/>
  <c r="Q204" i="3" a="1"/>
  <c r="Q204" i="3" s="1"/>
  <c r="Q202" i="3" a="1"/>
  <c r="Q202" i="3" s="1"/>
  <c r="Q200" i="3" a="1"/>
  <c r="Q200" i="3" s="1"/>
  <c r="Q198" i="3" a="1"/>
  <c r="Q198" i="3" s="1"/>
  <c r="Q196" i="3" a="1"/>
  <c r="Q196" i="3" s="1"/>
  <c r="Q194" i="3" a="1"/>
  <c r="Q194" i="3" s="1"/>
  <c r="Q185" i="3" a="1"/>
  <c r="Q185" i="3" s="1"/>
  <c r="Q183" i="3" a="1"/>
  <c r="Q183" i="3" s="1"/>
  <c r="Q181" i="3" a="1"/>
  <c r="Q181" i="3" s="1"/>
  <c r="Q179" i="3" a="1"/>
  <c r="Q179" i="3" s="1"/>
  <c r="Q177" i="3" a="1"/>
  <c r="Q177" i="3" s="1"/>
  <c r="Q161" i="3" a="1"/>
  <c r="Q161" i="3" s="1"/>
  <c r="Q157" i="3" a="1"/>
  <c r="Q157" i="3" s="1"/>
  <c r="Q155" i="3" a="1"/>
  <c r="Q155" i="3" s="1"/>
  <c r="Q151" i="3" a="1"/>
  <c r="Q151" i="3" s="1"/>
  <c r="Q149" i="3" a="1"/>
  <c r="Q149" i="3" s="1"/>
  <c r="Q146" i="3" a="1"/>
  <c r="Q146" i="3" s="1"/>
  <c r="Q143" i="3" a="1"/>
  <c r="Q143" i="3" s="1"/>
  <c r="Q139" i="3" a="1"/>
  <c r="Q139" i="3" s="1"/>
  <c r="Q212" i="3" a="1"/>
  <c r="Q212" i="3" s="1"/>
  <c r="Q203" i="3" a="1"/>
  <c r="Q203" i="3" s="1"/>
  <c r="Q195" i="3" a="1"/>
  <c r="Q195" i="3" s="1"/>
  <c r="Q178" i="3" a="1"/>
  <c r="Q178" i="3" s="1"/>
  <c r="Q159" i="3" a="1"/>
  <c r="Q159" i="3" s="1"/>
  <c r="Q197" i="3" a="1"/>
  <c r="Q197" i="3" s="1"/>
  <c r="Q150" i="3" a="1"/>
  <c r="Q150" i="3" s="1"/>
  <c r="Q210" i="3" a="1"/>
  <c r="Q210" i="3" s="1"/>
  <c r="Q201" i="3" a="1"/>
  <c r="Q201" i="3" s="1"/>
  <c r="Q193" i="3" a="1"/>
  <c r="Q193" i="3" s="1"/>
  <c r="Q184" i="3" a="1"/>
  <c r="Q184" i="3" s="1"/>
  <c r="Q156" i="3" a="1"/>
  <c r="Q156" i="3" s="1"/>
  <c r="Q144" i="3" a="1"/>
  <c r="Q144" i="3" s="1"/>
  <c r="Q132" i="3" a="1"/>
  <c r="Q132" i="3" s="1"/>
  <c r="Q208" i="3" a="1"/>
  <c r="Q208" i="3" s="1"/>
  <c r="Q199" i="3" a="1"/>
  <c r="Q199" i="3" s="1"/>
  <c r="Q182" i="3" a="1"/>
  <c r="Q182" i="3" s="1"/>
  <c r="Q153" i="3" a="1"/>
  <c r="Q153" i="3" s="1"/>
  <c r="Q141" i="3" a="1"/>
  <c r="Q141" i="3" s="1"/>
  <c r="Q206" i="3" a="1"/>
  <c r="Q206" i="3" s="1"/>
  <c r="Q180" i="3" a="1"/>
  <c r="Q180" i="3" s="1"/>
  <c r="Q138" i="3" a="1"/>
  <c r="Q138" i="3" s="1"/>
  <c r="S701" i="2"/>
  <c r="S699" i="2"/>
  <c r="S700" i="2"/>
  <c r="S417" i="2"/>
  <c r="S418" i="2"/>
  <c r="S416" i="2"/>
  <c r="S419" i="2"/>
  <c r="O697" i="2"/>
  <c r="O702" i="2"/>
  <c r="O415" i="2"/>
  <c r="U340" i="3"/>
  <c r="U348" i="3"/>
  <c r="U263" i="3"/>
  <c r="U257" i="3"/>
  <c r="U265" i="3"/>
  <c r="U273" i="3"/>
  <c r="U338" i="3"/>
  <c r="U346" i="3"/>
  <c r="U259" i="3"/>
  <c r="U344" i="3"/>
  <c r="U352" i="3"/>
  <c r="U275" i="3"/>
  <c r="U261" i="3"/>
  <c r="U350" i="3"/>
  <c r="U315" i="3"/>
  <c r="U347" i="3"/>
  <c r="U268" i="3"/>
  <c r="U284" i="3"/>
  <c r="U300" i="3"/>
  <c r="U316" i="3"/>
  <c r="U332" i="3"/>
  <c r="U291" i="3"/>
  <c r="U307" i="3"/>
  <c r="U323" i="3"/>
  <c r="U339" i="3"/>
  <c r="U256" i="3"/>
  <c r="U264" i="3"/>
  <c r="U272" i="3"/>
  <c r="U280" i="3"/>
  <c r="U288" i="3"/>
  <c r="U296" i="3"/>
  <c r="U304" i="3"/>
  <c r="U312" i="3"/>
  <c r="U320" i="3"/>
  <c r="U328" i="3"/>
  <c r="U285" i="3"/>
  <c r="U293" i="3"/>
  <c r="U301" i="3"/>
  <c r="U309" i="3"/>
  <c r="U317" i="3"/>
  <c r="U325" i="3"/>
  <c r="U333" i="3"/>
  <c r="U341" i="3"/>
  <c r="U349" i="3"/>
  <c r="U287" i="3"/>
  <c r="U303" i="3"/>
  <c r="U319" i="3"/>
  <c r="U335" i="3"/>
  <c r="U353" i="3"/>
  <c r="U254" i="3"/>
  <c r="U262" i="3"/>
  <c r="U270" i="3"/>
  <c r="U278" i="3"/>
  <c r="U286" i="3"/>
  <c r="U294" i="3"/>
  <c r="U302" i="3"/>
  <c r="U310" i="3"/>
  <c r="U318" i="3"/>
  <c r="U326" i="3"/>
  <c r="U334" i="3"/>
  <c r="U271" i="3"/>
  <c r="U336" i="3"/>
  <c r="U255" i="3"/>
  <c r="U269" i="3"/>
  <c r="U342" i="3"/>
  <c r="U279" i="3"/>
  <c r="U299" i="3"/>
  <c r="U331" i="3"/>
  <c r="U260" i="3"/>
  <c r="U276" i="3"/>
  <c r="U292" i="3"/>
  <c r="U308" i="3"/>
  <c r="U324" i="3"/>
  <c r="U281" i="3"/>
  <c r="U313" i="3"/>
  <c r="U345" i="3"/>
  <c r="U295" i="3"/>
  <c r="U266" i="3"/>
  <c r="U298" i="3"/>
  <c r="U330" i="3"/>
  <c r="U297" i="3"/>
  <c r="U314" i="3"/>
  <c r="U305" i="3"/>
  <c r="U343" i="3"/>
  <c r="U290" i="3"/>
  <c r="U289" i="3"/>
  <c r="U321" i="3"/>
  <c r="U351" i="3"/>
  <c r="U311" i="3"/>
  <c r="U274" i="3"/>
  <c r="U306" i="3"/>
  <c r="U329" i="3"/>
  <c r="U327" i="3"/>
  <c r="U282" i="3"/>
  <c r="U337" i="3"/>
  <c r="U283" i="3"/>
  <c r="U258" i="3"/>
  <c r="U322" i="3"/>
  <c r="S389" i="2"/>
  <c r="S390" i="2"/>
  <c r="S472" i="2"/>
  <c r="S473" i="2"/>
  <c r="E243" i="3"/>
  <c r="T277" i="3"/>
  <c r="T279" i="3"/>
  <c r="T299" i="3"/>
  <c r="T315" i="3"/>
  <c r="T331" i="3"/>
  <c r="T347" i="3"/>
  <c r="T260" i="3"/>
  <c r="T268" i="3"/>
  <c r="T276" i="3"/>
  <c r="T284" i="3"/>
  <c r="T292" i="3"/>
  <c r="T300" i="3"/>
  <c r="T308" i="3"/>
  <c r="T316" i="3"/>
  <c r="T324" i="3"/>
  <c r="T332" i="3"/>
  <c r="T281" i="3"/>
  <c r="T289" i="3"/>
  <c r="T297" i="3"/>
  <c r="T305" i="3"/>
  <c r="T313" i="3"/>
  <c r="T321" i="3"/>
  <c r="T329" i="3"/>
  <c r="T337" i="3"/>
  <c r="T345" i="3"/>
  <c r="T351" i="3"/>
  <c r="T283" i="3"/>
  <c r="T295" i="3"/>
  <c r="T311" i="3"/>
  <c r="T327" i="3"/>
  <c r="T343" i="3"/>
  <c r="T258" i="3"/>
  <c r="T266" i="3"/>
  <c r="T274" i="3"/>
  <c r="T282" i="3"/>
  <c r="T290" i="3"/>
  <c r="T298" i="3"/>
  <c r="T306" i="3"/>
  <c r="T314" i="3"/>
  <c r="T322" i="3"/>
  <c r="T330" i="3"/>
  <c r="T323" i="3"/>
  <c r="T256" i="3"/>
  <c r="T272" i="3"/>
  <c r="T288" i="3"/>
  <c r="T304" i="3"/>
  <c r="T328" i="3"/>
  <c r="T301" i="3"/>
  <c r="T317" i="3"/>
  <c r="T333" i="3"/>
  <c r="T349" i="3"/>
  <c r="T303" i="3"/>
  <c r="T335" i="3"/>
  <c r="T254" i="3"/>
  <c r="T270" i="3"/>
  <c r="T286" i="3"/>
  <c r="T294" i="3"/>
  <c r="T310" i="3"/>
  <c r="T326" i="3"/>
  <c r="T267" i="3"/>
  <c r="T348" i="3"/>
  <c r="T259" i="3"/>
  <c r="T271" i="3"/>
  <c r="T336" i="3"/>
  <c r="T344" i="3"/>
  <c r="T352" i="3"/>
  <c r="T255" i="3"/>
  <c r="T275" i="3"/>
  <c r="T261" i="3"/>
  <c r="T269" i="3"/>
  <c r="T342" i="3"/>
  <c r="T350" i="3"/>
  <c r="T291" i="3"/>
  <c r="T307" i="3"/>
  <c r="T339" i="3"/>
  <c r="T264" i="3"/>
  <c r="T280" i="3"/>
  <c r="T296" i="3"/>
  <c r="T312" i="3"/>
  <c r="T320" i="3"/>
  <c r="T285" i="3"/>
  <c r="T293" i="3"/>
  <c r="T309" i="3"/>
  <c r="T325" i="3"/>
  <c r="T341" i="3"/>
  <c r="T287" i="3"/>
  <c r="T319" i="3"/>
  <c r="T353" i="3"/>
  <c r="T262" i="3"/>
  <c r="T278" i="3"/>
  <c r="T302" i="3"/>
  <c r="T318" i="3"/>
  <c r="T334" i="3"/>
  <c r="T340" i="3"/>
  <c r="T257" i="3"/>
  <c r="T263" i="3"/>
  <c r="T273" i="3"/>
  <c r="T265" i="3"/>
  <c r="T338" i="3"/>
  <c r="T346" i="3"/>
  <c r="T253" i="3"/>
  <c r="U253" i="3"/>
  <c r="O387" i="2"/>
  <c r="O391" i="2"/>
  <c r="O474" i="2"/>
  <c r="O471" i="2"/>
  <c r="S117" i="2"/>
  <c r="S119" i="2"/>
  <c r="S125" i="2"/>
  <c r="S148" i="2"/>
  <c r="S134" i="2"/>
  <c r="S138" i="2"/>
  <c r="S142" i="2"/>
  <c r="S111" i="2"/>
  <c r="S126" i="2"/>
  <c r="S149" i="2"/>
  <c r="S135" i="2"/>
  <c r="S118" i="2"/>
  <c r="S120" i="2"/>
  <c r="S123" i="2"/>
  <c r="S127" i="2"/>
  <c r="S136" i="2"/>
  <c r="S140" i="2"/>
  <c r="S144" i="2"/>
  <c r="S113" i="2"/>
  <c r="S122" i="2"/>
  <c r="S143" i="2"/>
  <c r="S124" i="2"/>
  <c r="S128" i="2"/>
  <c r="S147" i="2"/>
  <c r="S133" i="2"/>
  <c r="S137" i="2"/>
  <c r="S141" i="2"/>
  <c r="S114" i="2"/>
  <c r="S139" i="2"/>
  <c r="S112" i="2"/>
  <c r="S116" i="2"/>
  <c r="S305" i="2"/>
  <c r="S297" i="2"/>
  <c r="S301" i="2"/>
  <c r="S284" i="2"/>
  <c r="S270" i="2"/>
  <c r="S274" i="2"/>
  <c r="S278" i="2"/>
  <c r="S282" i="2"/>
  <c r="S295" i="2"/>
  <c r="S269" i="2"/>
  <c r="S108" i="2"/>
  <c r="S308" i="2"/>
  <c r="S304" i="2"/>
  <c r="S302" i="2"/>
  <c r="S296" i="2"/>
  <c r="S286" i="2"/>
  <c r="S285" i="2"/>
  <c r="S271" i="2"/>
  <c r="S275" i="2"/>
  <c r="S279" i="2"/>
  <c r="S273" i="2"/>
  <c r="S109" i="2"/>
  <c r="S307" i="2"/>
  <c r="S299" i="2"/>
  <c r="S310" i="2"/>
  <c r="S294" i="2"/>
  <c r="S287" i="2"/>
  <c r="S272" i="2"/>
  <c r="S276" i="2"/>
  <c r="S280" i="2"/>
  <c r="S306" i="2"/>
  <c r="S300" i="2"/>
  <c r="S281" i="2"/>
  <c r="S100" i="2"/>
  <c r="S99" i="2"/>
  <c r="S101" i="2"/>
  <c r="S98" i="2"/>
  <c r="S3" i="2"/>
  <c r="S86" i="2"/>
  <c r="S76" i="2"/>
  <c r="S81" i="2"/>
  <c r="S89" i="2"/>
  <c r="S82" i="2"/>
  <c r="S79" i="2"/>
  <c r="S83" i="2"/>
  <c r="S87" i="2"/>
  <c r="S72" i="2"/>
  <c r="S78" i="2"/>
  <c r="S73" i="2"/>
  <c r="S85" i="2"/>
  <c r="S74" i="2"/>
  <c r="S80" i="2"/>
  <c r="S77" i="2"/>
  <c r="S68" i="2"/>
  <c r="S93" i="2"/>
  <c r="S90" i="2"/>
  <c r="S70" i="2"/>
  <c r="S91" i="2"/>
  <c r="S95" i="2"/>
  <c r="S61" i="2"/>
  <c r="S65" i="2"/>
  <c r="S75" i="2"/>
  <c r="S69" i="2"/>
  <c r="S94" i="2"/>
  <c r="S64" i="2"/>
  <c r="S92" i="2"/>
  <c r="S96" i="2"/>
  <c r="S62" i="2"/>
  <c r="S63" i="2"/>
  <c r="S66" i="2"/>
  <c r="S27" i="2"/>
  <c r="S17" i="2"/>
  <c r="S21" i="2"/>
  <c r="S58" i="2"/>
  <c r="S43" i="2"/>
  <c r="S47" i="2"/>
  <c r="S38" i="2"/>
  <c r="S31" i="2"/>
  <c r="S35" i="2"/>
  <c r="S14" i="2"/>
  <c r="S258" i="2"/>
  <c r="S57" i="2"/>
  <c r="S13" i="2"/>
  <c r="S266" i="2"/>
  <c r="S24" i="2"/>
  <c r="S28" i="2"/>
  <c r="S18" i="2"/>
  <c r="S22" i="2"/>
  <c r="S59" i="2"/>
  <c r="S44" i="2"/>
  <c r="S39" i="2"/>
  <c r="S32" i="2"/>
  <c r="S11" i="2"/>
  <c r="S15" i="2"/>
  <c r="S264" i="2"/>
  <c r="S259" i="2"/>
  <c r="S46" i="2"/>
  <c r="S261" i="2"/>
  <c r="S25" i="2"/>
  <c r="S19" i="2"/>
  <c r="S45" i="2"/>
  <c r="S36" i="2"/>
  <c r="S33" i="2"/>
  <c r="S12" i="2"/>
  <c r="S265" i="2"/>
  <c r="S260" i="2"/>
  <c r="S26" i="2"/>
  <c r="S20" i="2"/>
  <c r="S42" i="2"/>
  <c r="S34" i="2"/>
  <c r="S257" i="2"/>
  <c r="S41" i="2"/>
  <c r="S262" i="2"/>
  <c r="S263" i="2"/>
  <c r="S255" i="2"/>
  <c r="S220" i="2"/>
  <c r="S249" i="2"/>
  <c r="S246" i="2"/>
  <c r="S244" i="2"/>
  <c r="S256" i="2"/>
  <c r="S221" i="2"/>
  <c r="S250" i="2"/>
  <c r="S253" i="2"/>
  <c r="S254" i="2"/>
  <c r="S222" i="2"/>
  <c r="S247" i="2"/>
  <c r="S252" i="2"/>
  <c r="S248" i="2"/>
  <c r="S245" i="2"/>
  <c r="S251" i="2"/>
  <c r="S243" i="2"/>
  <c r="S242" i="2"/>
  <c r="S239" i="2"/>
  <c r="S168" i="2"/>
  <c r="S169" i="2"/>
  <c r="S236" i="2"/>
  <c r="S234" i="2"/>
  <c r="S237" i="2"/>
  <c r="S167" i="2"/>
  <c r="S241" i="2"/>
  <c r="S235" i="2"/>
  <c r="S233" i="2"/>
  <c r="S232" i="2"/>
  <c r="S240" i="2"/>
  <c r="S231" i="2"/>
  <c r="S230" i="2"/>
  <c r="S205" i="2"/>
  <c r="S225" i="2"/>
  <c r="S229" i="2"/>
  <c r="S209" i="2"/>
  <c r="S213" i="2"/>
  <c r="S217" i="2"/>
  <c r="S226" i="2"/>
  <c r="S210" i="2"/>
  <c r="S214" i="2"/>
  <c r="S218" i="2"/>
  <c r="S228" i="2"/>
  <c r="S212" i="2"/>
  <c r="S227" i="2"/>
  <c r="S223" i="2"/>
  <c r="S211" i="2"/>
  <c r="S215" i="2"/>
  <c r="S219" i="2"/>
  <c r="S224" i="2"/>
  <c r="S216" i="2"/>
  <c r="S208" i="2"/>
  <c r="S180" i="2"/>
  <c r="S184" i="2"/>
  <c r="S188" i="2"/>
  <c r="S192" i="2"/>
  <c r="S196" i="2"/>
  <c r="S202" i="2"/>
  <c r="S178" i="2"/>
  <c r="S186" i="2"/>
  <c r="S200" i="2"/>
  <c r="S204" i="2"/>
  <c r="S179" i="2"/>
  <c r="S187" i="2"/>
  <c r="S201" i="2"/>
  <c r="S181" i="2"/>
  <c r="S185" i="2"/>
  <c r="S189" i="2"/>
  <c r="S193" i="2"/>
  <c r="S199" i="2"/>
  <c r="S203" i="2"/>
  <c r="S182" i="2"/>
  <c r="S190" i="2"/>
  <c r="S198" i="2"/>
  <c r="S183" i="2"/>
  <c r="S191" i="2"/>
  <c r="S194" i="2"/>
  <c r="S195" i="2"/>
  <c r="S206" i="2"/>
  <c r="S207" i="2"/>
  <c r="S177" i="2"/>
  <c r="S160" i="2"/>
  <c r="S164" i="2"/>
  <c r="S171" i="2"/>
  <c r="S170" i="2"/>
  <c r="S173" i="2"/>
  <c r="S161" i="2"/>
  <c r="S165" i="2"/>
  <c r="S172" i="2"/>
  <c r="S176" i="2"/>
  <c r="S163" i="2"/>
  <c r="S175" i="2"/>
  <c r="S174" i="2"/>
  <c r="S162" i="2"/>
  <c r="S166" i="2"/>
  <c r="S159" i="2"/>
  <c r="O115" i="2"/>
  <c r="O120" i="2"/>
  <c r="O121" i="2"/>
  <c r="O145" i="2"/>
  <c r="O150" i="2"/>
  <c r="O872" i="2"/>
  <c r="O868" i="2"/>
  <c r="O856" i="2"/>
  <c r="O852" i="2"/>
  <c r="O848" i="2"/>
  <c r="O824" i="2"/>
  <c r="O804" i="2"/>
  <c r="O740" i="2"/>
  <c r="O724" i="2"/>
  <c r="O708" i="2"/>
  <c r="O534" i="2"/>
  <c r="O530" i="2"/>
  <c r="O498" i="2"/>
  <c r="O434" i="2"/>
  <c r="O360" i="2"/>
  <c r="O352" i="2"/>
  <c r="O340" i="2"/>
  <c r="O276" i="2"/>
  <c r="O268" i="2"/>
  <c r="O110" i="2"/>
  <c r="O71" i="2"/>
  <c r="O67" i="2"/>
  <c r="O23" i="2"/>
  <c r="O871" i="2"/>
  <c r="O867" i="2"/>
  <c r="O855" i="2"/>
  <c r="O847" i="2"/>
  <c r="O835" i="2"/>
  <c r="O823" i="2"/>
  <c r="O803" i="2"/>
  <c r="O799" i="2"/>
  <c r="O771" i="2"/>
  <c r="O763" i="2"/>
  <c r="O739" i="2"/>
  <c r="O619" i="2"/>
  <c r="O589" i="2"/>
  <c r="O561" i="2"/>
  <c r="O517" i="2"/>
  <c r="O505" i="2"/>
  <c r="O493" i="2"/>
  <c r="O462" i="2"/>
  <c r="O363" i="2"/>
  <c r="O359" i="2"/>
  <c r="O303" i="2"/>
  <c r="O287" i="2"/>
  <c r="O283" i="2"/>
  <c r="O267" i="2"/>
  <c r="O66" i="2"/>
  <c r="O874" i="2"/>
  <c r="O870" i="2"/>
  <c r="O854" i="2"/>
  <c r="O838" i="2"/>
  <c r="O830" i="2"/>
  <c r="O814" i="2"/>
  <c r="O762" i="2"/>
  <c r="O710" i="2"/>
  <c r="O654" i="2"/>
  <c r="O650" i="2"/>
  <c r="O618" i="2"/>
  <c r="O614" i="2"/>
  <c r="O568" i="2"/>
  <c r="O512" i="2"/>
  <c r="O480" i="2"/>
  <c r="O457" i="2"/>
  <c r="O398" i="2"/>
  <c r="O382" i="2"/>
  <c r="O378" i="2"/>
  <c r="O362" i="2"/>
  <c r="O346" i="2"/>
  <c r="O298" i="2"/>
  <c r="O286" i="2"/>
  <c r="O97" i="2"/>
  <c r="O37" i="2"/>
  <c r="O29" i="2"/>
  <c r="O3" i="2"/>
  <c r="O873" i="2"/>
  <c r="O869" i="2"/>
  <c r="O861" i="2"/>
  <c r="O853" i="2"/>
  <c r="O849" i="2"/>
  <c r="O841" i="2"/>
  <c r="O809" i="2"/>
  <c r="O797" i="2"/>
  <c r="O749" i="2"/>
  <c r="O733" i="2"/>
  <c r="O709" i="2"/>
  <c r="O617" i="2"/>
  <c r="O479" i="2"/>
  <c r="O468" i="2"/>
  <c r="O456" i="2"/>
  <c r="O405" i="2"/>
  <c r="O373" i="2"/>
  <c r="O361" i="2"/>
  <c r="O309" i="2"/>
  <c r="O297" i="2"/>
  <c r="O293" i="2"/>
  <c r="O277" i="2"/>
  <c r="O88" i="2"/>
  <c r="O84" i="2"/>
  <c r="O60" i="2"/>
  <c r="O40" i="2"/>
  <c r="O36" i="2"/>
  <c r="O28" i="2"/>
  <c r="O16" i="2"/>
  <c r="S153" i="2"/>
  <c r="S157" i="2"/>
  <c r="S156" i="2"/>
  <c r="S154" i="2"/>
  <c r="S158" i="2"/>
  <c r="S151" i="2"/>
  <c r="S155" i="2"/>
  <c r="S152" i="2"/>
  <c r="S844" i="2"/>
  <c r="S392" i="2"/>
  <c r="S410" i="2"/>
  <c r="S846" i="2"/>
  <c r="S412" i="2"/>
  <c r="S845" i="2"/>
  <c r="S411" i="2"/>
  <c r="S386" i="2"/>
  <c r="S843" i="2"/>
  <c r="S385" i="2"/>
  <c r="S847" i="2"/>
  <c r="S384" i="2"/>
  <c r="S383" i="2"/>
  <c r="S842" i="2"/>
  <c r="S408" i="2"/>
  <c r="S402" i="2"/>
  <c r="S393" i="2"/>
  <c r="S397" i="2"/>
  <c r="S593" i="2"/>
  <c r="S581" i="2"/>
  <c r="S396" i="2"/>
  <c r="S588" i="2"/>
  <c r="S409" i="2"/>
  <c r="S399" i="2"/>
  <c r="S403" i="2"/>
  <c r="S394" i="2"/>
  <c r="S590" i="2"/>
  <c r="S594" i="2"/>
  <c r="S582" i="2"/>
  <c r="S586" i="2"/>
  <c r="S587" i="2"/>
  <c r="S401" i="2"/>
  <c r="S602" i="2"/>
  <c r="S580" i="2"/>
  <c r="S400" i="2"/>
  <c r="S404" i="2"/>
  <c r="S395" i="2"/>
  <c r="S591" i="2"/>
  <c r="S583" i="2"/>
  <c r="S407" i="2"/>
  <c r="S592" i="2"/>
  <c r="S584" i="2"/>
  <c r="S569" i="2"/>
  <c r="S574" i="2"/>
  <c r="S571" i="2"/>
  <c r="S572" i="2"/>
  <c r="S573" i="2"/>
  <c r="S570" i="2"/>
  <c r="S553" i="2"/>
  <c r="S564" i="2"/>
  <c r="S560" i="2"/>
  <c r="S546" i="2"/>
  <c r="S550" i="2"/>
  <c r="S538" i="2"/>
  <c r="S542" i="2"/>
  <c r="S555" i="2"/>
  <c r="S548" i="2"/>
  <c r="S554" i="2"/>
  <c r="S565" i="2"/>
  <c r="S539" i="2"/>
  <c r="S543" i="2"/>
  <c r="S556" i="2"/>
  <c r="S552" i="2"/>
  <c r="S563" i="2"/>
  <c r="S559" i="2"/>
  <c r="S549" i="2"/>
  <c r="S558" i="2"/>
  <c r="S551" i="2"/>
  <c r="S562" i="2"/>
  <c r="S566" i="2"/>
  <c r="S540" i="2"/>
  <c r="S544" i="2"/>
  <c r="S557" i="2"/>
  <c r="S567" i="2"/>
  <c r="S545" i="2"/>
  <c r="S537" i="2"/>
  <c r="S547" i="2"/>
  <c r="S533" i="2"/>
  <c r="S536" i="2"/>
  <c r="S532" i="2"/>
  <c r="S531" i="2"/>
  <c r="S535" i="2"/>
  <c r="D51" i="8" a="1"/>
  <c r="D51" i="8" s="1"/>
  <c r="F51" i="8"/>
  <c r="H51" i="8"/>
  <c r="S494" i="2"/>
  <c r="S481" i="2"/>
  <c r="S488" i="2"/>
  <c r="S492" i="2"/>
  <c r="S504" i="2"/>
  <c r="S495" i="2"/>
  <c r="S499" i="2"/>
  <c r="S482" i="2"/>
  <c r="S485" i="2"/>
  <c r="S489" i="2"/>
  <c r="S501" i="2"/>
  <c r="S496" i="2"/>
  <c r="S500" i="2"/>
  <c r="S483" i="2"/>
  <c r="S486" i="2"/>
  <c r="S490" i="2"/>
  <c r="S502" i="2"/>
  <c r="S497" i="2"/>
  <c r="S484" i="2"/>
  <c r="S479" i="2"/>
  <c r="S487" i="2"/>
  <c r="S491" i="2"/>
  <c r="S503" i="2"/>
  <c r="S478" i="2"/>
  <c r="S514" i="2"/>
  <c r="S508" i="2"/>
  <c r="S507" i="2"/>
  <c r="S475" i="2"/>
  <c r="S509" i="2"/>
  <c r="S513" i="2"/>
  <c r="S476" i="2"/>
  <c r="S510" i="2"/>
  <c r="S511" i="2"/>
  <c r="S477" i="2"/>
  <c r="S516" i="2"/>
  <c r="S521" i="2"/>
  <c r="S525" i="2"/>
  <c r="S529" i="2"/>
  <c r="S463" i="2"/>
  <c r="S467" i="2"/>
  <c r="S460" i="2"/>
  <c r="S444" i="2"/>
  <c r="S435" i="2"/>
  <c r="S432" i="2"/>
  <c r="S379" i="2"/>
  <c r="S376" i="2"/>
  <c r="S367" i="2"/>
  <c r="S380" i="2"/>
  <c r="S377" i="2"/>
  <c r="S371" i="2"/>
  <c r="S515" i="2"/>
  <c r="S518" i="2"/>
  <c r="S522" i="2"/>
  <c r="S526" i="2"/>
  <c r="S464" i="2"/>
  <c r="S445" i="2"/>
  <c r="S436" i="2"/>
  <c r="S433" i="2"/>
  <c r="S374" i="2"/>
  <c r="S369" i="2"/>
  <c r="S519" i="2"/>
  <c r="S523" i="2"/>
  <c r="S527" i="2"/>
  <c r="S461" i="2"/>
  <c r="S469" i="2"/>
  <c r="S446" i="2"/>
  <c r="S437" i="2"/>
  <c r="S381" i="2"/>
  <c r="S375" i="2"/>
  <c r="S365" i="2"/>
  <c r="S520" i="2"/>
  <c r="S524" i="2"/>
  <c r="S528" i="2"/>
  <c r="S466" i="2"/>
  <c r="S470" i="2"/>
  <c r="S459" i="2"/>
  <c r="S431" i="2"/>
  <c r="S372" i="2"/>
  <c r="S366" i="2"/>
  <c r="S370" i="2"/>
  <c r="S368" i="2"/>
  <c r="S458" i="2"/>
  <c r="S360" i="2"/>
  <c r="S349" i="2"/>
  <c r="S342" i="2"/>
  <c r="S327" i="2"/>
  <c r="S331" i="2"/>
  <c r="S335" i="2"/>
  <c r="S339" i="2"/>
  <c r="S341" i="2"/>
  <c r="S334" i="2"/>
  <c r="S364" i="2"/>
  <c r="S361" i="2"/>
  <c r="S350" i="2"/>
  <c r="S343" i="2"/>
  <c r="S328" i="2"/>
  <c r="S332" i="2"/>
  <c r="S336" i="2"/>
  <c r="S324" i="2"/>
  <c r="S362" i="2"/>
  <c r="S351" i="2"/>
  <c r="S329" i="2"/>
  <c r="S337" i="2"/>
  <c r="S325" i="2"/>
  <c r="S326" i="2"/>
  <c r="S347" i="2"/>
  <c r="S344" i="2"/>
  <c r="S333" i="2"/>
  <c r="S348" i="2"/>
  <c r="S330" i="2"/>
  <c r="S359" i="2"/>
  <c r="S345" i="2"/>
  <c r="S338" i="2"/>
  <c r="S323" i="2"/>
  <c r="S316" i="2"/>
  <c r="S320" i="2"/>
  <c r="S731" i="2"/>
  <c r="S314" i="2"/>
  <c r="S317" i="2"/>
  <c r="S353" i="2"/>
  <c r="S732" i="2"/>
  <c r="S311" i="2"/>
  <c r="S318" i="2"/>
  <c r="S312" i="2"/>
  <c r="S321" i="2"/>
  <c r="S319" i="2"/>
  <c r="S730" i="2"/>
  <c r="S734" i="2"/>
  <c r="S313" i="2"/>
  <c r="S357" i="2"/>
  <c r="S620" i="2"/>
  <c r="S624" i="2"/>
  <c r="S634" i="2"/>
  <c r="S638" i="2"/>
  <c r="S642" i="2"/>
  <c r="S604" i="2"/>
  <c r="S608" i="2"/>
  <c r="S612" i="2"/>
  <c r="S757" i="2"/>
  <c r="S354" i="2"/>
  <c r="S358" i="2"/>
  <c r="S621" i="2"/>
  <c r="S635" i="2"/>
  <c r="S639" i="2"/>
  <c r="S643" i="2"/>
  <c r="S615" i="2"/>
  <c r="S605" i="2"/>
  <c r="S609" i="2"/>
  <c r="S355" i="2"/>
  <c r="S622" i="2"/>
  <c r="S636" i="2"/>
  <c r="S640" i="2"/>
  <c r="S644" i="2"/>
  <c r="S616" i="2"/>
  <c r="S606" i="2"/>
  <c r="S610" i="2"/>
  <c r="S618" i="2"/>
  <c r="S356" i="2"/>
  <c r="S623" i="2"/>
  <c r="S637" i="2"/>
  <c r="S641" i="2"/>
  <c r="S613" i="2"/>
  <c r="S617" i="2"/>
  <c r="S603" i="2"/>
  <c r="S607" i="2"/>
  <c r="S611" i="2"/>
  <c r="S756" i="2"/>
  <c r="S669" i="2"/>
  <c r="S657" i="2"/>
  <c r="S662" i="2"/>
  <c r="S666" i="2"/>
  <c r="S660" i="2"/>
  <c r="S668" i="2"/>
  <c r="S651" i="2"/>
  <c r="S658" i="2"/>
  <c r="S663" i="2"/>
  <c r="S652" i="2"/>
  <c r="S664" i="2"/>
  <c r="S665" i="2"/>
  <c r="S667" i="2"/>
  <c r="S653" i="2"/>
  <c r="S661" i="2"/>
  <c r="S659" i="2"/>
  <c r="S715" i="2"/>
  <c r="S719" i="2"/>
  <c r="S723" i="2"/>
  <c r="S711" i="2"/>
  <c r="S716" i="2"/>
  <c r="S720" i="2"/>
  <c r="S712" i="2"/>
  <c r="S714" i="2"/>
  <c r="S717" i="2"/>
  <c r="S721" i="2"/>
  <c r="S713" i="2"/>
  <c r="S718" i="2"/>
  <c r="S722" i="2"/>
  <c r="S696" i="2"/>
  <c r="S737" i="2"/>
  <c r="S704" i="2"/>
  <c r="S708" i="2"/>
  <c r="S726" i="2"/>
  <c r="S707" i="2"/>
  <c r="S738" i="2"/>
  <c r="S705" i="2"/>
  <c r="S727" i="2"/>
  <c r="S728" i="2"/>
  <c r="S736" i="2"/>
  <c r="S725" i="2"/>
  <c r="S735" i="2"/>
  <c r="S706" i="2"/>
  <c r="S695" i="2"/>
  <c r="S703" i="2"/>
  <c r="S729" i="2"/>
  <c r="S744" i="2"/>
  <c r="S748" i="2"/>
  <c r="S751" i="2"/>
  <c r="S745" i="2"/>
  <c r="S743" i="2"/>
  <c r="S761" i="2"/>
  <c r="S741" i="2"/>
  <c r="S755" i="2"/>
  <c r="S747" i="2"/>
  <c r="S754" i="2"/>
  <c r="S759" i="2"/>
  <c r="S742" i="2"/>
  <c r="S746" i="2"/>
  <c r="S760" i="2"/>
  <c r="S753" i="2"/>
  <c r="S758" i="2"/>
  <c r="S752" i="2"/>
  <c r="S762" i="2"/>
  <c r="S883" i="2"/>
  <c r="S880" i="2"/>
  <c r="S884" i="2"/>
  <c r="S881" i="2"/>
  <c r="S882" i="2"/>
  <c r="S876" i="2"/>
  <c r="S879" i="2"/>
  <c r="S877" i="2"/>
  <c r="S878" i="2"/>
  <c r="S875" i="2"/>
  <c r="S871" i="2"/>
  <c r="S873" i="2"/>
  <c r="S872" i="2"/>
  <c r="S865" i="2"/>
  <c r="S860" i="2"/>
  <c r="S854" i="2"/>
  <c r="S852" i="2"/>
  <c r="S850" i="2"/>
  <c r="S853" i="2"/>
  <c r="S868" i="2"/>
  <c r="S862" i="2"/>
  <c r="S866" i="2"/>
  <c r="S857" i="2"/>
  <c r="S855" i="2"/>
  <c r="S837" i="2"/>
  <c r="S869" i="2"/>
  <c r="S863" i="2"/>
  <c r="S858" i="2"/>
  <c r="S840" i="2"/>
  <c r="S848" i="2"/>
  <c r="S851" i="2"/>
  <c r="S864" i="2"/>
  <c r="S859" i="2"/>
  <c r="S836" i="2"/>
  <c r="S839" i="2"/>
  <c r="S831" i="2"/>
  <c r="S826" i="2"/>
  <c r="S829" i="2"/>
  <c r="S832" i="2"/>
  <c r="S823" i="2"/>
  <c r="S827" i="2"/>
  <c r="S825" i="2"/>
  <c r="S833" i="2"/>
  <c r="S828" i="2"/>
  <c r="S834" i="2"/>
  <c r="S817" i="2"/>
  <c r="S821" i="2"/>
  <c r="S810" i="2"/>
  <c r="S808" i="2"/>
  <c r="S800" i="2"/>
  <c r="S797" i="2"/>
  <c r="S766" i="2"/>
  <c r="S770" i="2"/>
  <c r="S796" i="2"/>
  <c r="S792" i="2"/>
  <c r="S787" i="2"/>
  <c r="S783" i="2"/>
  <c r="S779" i="2"/>
  <c r="S775" i="2"/>
  <c r="S818" i="2"/>
  <c r="S811" i="2"/>
  <c r="S789" i="2"/>
  <c r="S786" i="2"/>
  <c r="S778" i="2"/>
  <c r="S790" i="2"/>
  <c r="S785" i="2"/>
  <c r="S777" i="2"/>
  <c r="S765" i="2"/>
  <c r="S788" i="2"/>
  <c r="S772" i="2"/>
  <c r="S822" i="2"/>
  <c r="S807" i="2"/>
  <c r="S767" i="2"/>
  <c r="S793" i="2"/>
  <c r="S782" i="2"/>
  <c r="S774" i="2"/>
  <c r="S794" i="2"/>
  <c r="S781" i="2"/>
  <c r="S773" i="2"/>
  <c r="S795" i="2"/>
  <c r="S780" i="2"/>
  <c r="S815" i="2"/>
  <c r="S819" i="2"/>
  <c r="S812" i="2"/>
  <c r="S806" i="2"/>
  <c r="S802" i="2"/>
  <c r="S764" i="2"/>
  <c r="S768" i="2"/>
  <c r="S791" i="2"/>
  <c r="S776" i="2"/>
  <c r="S816" i="2"/>
  <c r="S820" i="2"/>
  <c r="S813" i="2"/>
  <c r="S805" i="2"/>
  <c r="S801" i="2"/>
  <c r="S769" i="2"/>
  <c r="S784" i="2"/>
  <c r="L381" i="2"/>
  <c r="J345" i="2"/>
  <c r="J343" i="2"/>
  <c r="G351" i="3"/>
  <c r="K351" i="3"/>
  <c r="P351" i="3"/>
  <c r="E352" i="3"/>
  <c r="I352" i="3"/>
  <c r="N352" i="3"/>
  <c r="R352" i="3"/>
  <c r="G353" i="3"/>
  <c r="K353" i="3"/>
  <c r="P353" i="3"/>
  <c r="E351" i="3"/>
  <c r="I351" i="3"/>
  <c r="N351" i="3"/>
  <c r="R351" i="3"/>
  <c r="G352" i="3"/>
  <c r="K352" i="3"/>
  <c r="P352" i="3"/>
  <c r="E353" i="3"/>
  <c r="I353" i="3"/>
  <c r="N353" i="3"/>
  <c r="R353" i="3"/>
  <c r="G230" i="3"/>
  <c r="N20" i="3"/>
  <c r="N19" i="3"/>
  <c r="I230" i="3"/>
  <c r="P19" i="3"/>
  <c r="K230" i="3"/>
  <c r="V20" i="3"/>
  <c r="T20" i="3"/>
  <c r="T19" i="3"/>
  <c r="G229" i="3"/>
  <c r="X20" i="3"/>
  <c r="V19" i="3"/>
  <c r="R20" i="3"/>
  <c r="R19" i="3"/>
  <c r="K229" i="3"/>
  <c r="P20" i="3"/>
  <c r="X19" i="3"/>
  <c r="I229" i="3"/>
  <c r="F229" i="3"/>
  <c r="J229" i="3"/>
  <c r="F351" i="3"/>
  <c r="J351" i="3"/>
  <c r="O351" i="3"/>
  <c r="S351" i="3"/>
  <c r="H352" i="3"/>
  <c r="L352" i="3"/>
  <c r="Q352" i="3"/>
  <c r="F353" i="3"/>
  <c r="S353" i="3"/>
  <c r="H230" i="3"/>
  <c r="L230" i="3"/>
  <c r="H229" i="3"/>
  <c r="L229" i="3"/>
  <c r="H351" i="3"/>
  <c r="L351" i="3"/>
  <c r="Q351" i="3"/>
  <c r="F352" i="3"/>
  <c r="J352" i="3"/>
  <c r="O352" i="3"/>
  <c r="S352" i="3"/>
  <c r="H353" i="3"/>
  <c r="L353" i="3"/>
  <c r="F230" i="3"/>
  <c r="J230" i="3"/>
  <c r="W20" i="3"/>
  <c r="Y20" i="3"/>
  <c r="W19" i="3"/>
  <c r="Y19" i="3"/>
  <c r="U20" i="3"/>
  <c r="O20" i="3"/>
  <c r="U19" i="3"/>
  <c r="O19" i="3"/>
  <c r="J748" i="2"/>
  <c r="L746" i="2"/>
  <c r="L884" i="2"/>
  <c r="L878" i="2"/>
  <c r="L877" i="2"/>
  <c r="Q350" i="3"/>
  <c r="L350" i="3"/>
  <c r="H350" i="3"/>
  <c r="S349" i="3"/>
  <c r="O349" i="3"/>
  <c r="J349" i="3"/>
  <c r="F349" i="3"/>
  <c r="Q348" i="3"/>
  <c r="L348" i="3"/>
  <c r="H348" i="3"/>
  <c r="S347" i="3"/>
  <c r="O347" i="3"/>
  <c r="J347" i="3"/>
  <c r="F347" i="3"/>
  <c r="Q346" i="3"/>
  <c r="L346" i="3"/>
  <c r="H346" i="3"/>
  <c r="S345" i="3"/>
  <c r="O345" i="3"/>
  <c r="J345" i="3"/>
  <c r="F345" i="3"/>
  <c r="Q344" i="3"/>
  <c r="L344" i="3"/>
  <c r="H344" i="3"/>
  <c r="S343" i="3"/>
  <c r="O343" i="3"/>
  <c r="J343" i="3"/>
  <c r="F343" i="3"/>
  <c r="Q342" i="3"/>
  <c r="L342" i="3"/>
  <c r="H342" i="3"/>
  <c r="S341" i="3"/>
  <c r="O341" i="3"/>
  <c r="J341" i="3"/>
  <c r="F341" i="3"/>
  <c r="Q340" i="3"/>
  <c r="L340" i="3"/>
  <c r="H340" i="3"/>
  <c r="S339" i="3"/>
  <c r="O339" i="3"/>
  <c r="J339" i="3"/>
  <c r="F339" i="3"/>
  <c r="Q338" i="3"/>
  <c r="L338" i="3"/>
  <c r="H338" i="3"/>
  <c r="S337" i="3"/>
  <c r="O337" i="3"/>
  <c r="J337" i="3"/>
  <c r="F337" i="3"/>
  <c r="H336" i="3"/>
  <c r="S335" i="3"/>
  <c r="O335" i="3"/>
  <c r="J335" i="3"/>
  <c r="F335" i="3"/>
  <c r="Q334" i="3"/>
  <c r="L334" i="3"/>
  <c r="H334" i="3"/>
  <c r="S333" i="3"/>
  <c r="O333" i="3"/>
  <c r="J333" i="3"/>
  <c r="F333" i="3"/>
  <c r="Q332" i="3"/>
  <c r="L332" i="3"/>
  <c r="H332" i="3"/>
  <c r="S331" i="3"/>
  <c r="O331" i="3"/>
  <c r="J331" i="3"/>
  <c r="F331" i="3"/>
  <c r="Q330" i="3"/>
  <c r="L330" i="3"/>
  <c r="H330" i="3"/>
  <c r="S329" i="3"/>
  <c r="O329" i="3"/>
  <c r="J329" i="3"/>
  <c r="F329" i="3"/>
  <c r="Q328" i="3"/>
  <c r="L328" i="3"/>
  <c r="H328" i="3"/>
  <c r="S327" i="3"/>
  <c r="P350" i="3"/>
  <c r="K350" i="3"/>
  <c r="G350" i="3"/>
  <c r="R349" i="3"/>
  <c r="N349" i="3"/>
  <c r="I349" i="3"/>
  <c r="E349" i="3"/>
  <c r="P348" i="3"/>
  <c r="K348" i="3"/>
  <c r="G348" i="3"/>
  <c r="R347" i="3"/>
  <c r="N347" i="3"/>
  <c r="I347" i="3"/>
  <c r="E347" i="3"/>
  <c r="P346" i="3"/>
  <c r="K346" i="3"/>
  <c r="G346" i="3"/>
  <c r="R345" i="3"/>
  <c r="N345" i="3"/>
  <c r="I345" i="3"/>
  <c r="E345" i="3"/>
  <c r="P344" i="3"/>
  <c r="K344" i="3"/>
  <c r="G344" i="3"/>
  <c r="R343" i="3"/>
  <c r="N343" i="3"/>
  <c r="I343" i="3"/>
  <c r="E343" i="3"/>
  <c r="P342" i="3"/>
  <c r="K342" i="3"/>
  <c r="G342" i="3"/>
  <c r="R341" i="3"/>
  <c r="N341" i="3"/>
  <c r="I341" i="3"/>
  <c r="E341" i="3"/>
  <c r="P340" i="3"/>
  <c r="K340" i="3"/>
  <c r="G340" i="3"/>
  <c r="R339" i="3"/>
  <c r="N339" i="3"/>
  <c r="I339" i="3"/>
  <c r="E339" i="3"/>
  <c r="P338" i="3"/>
  <c r="K338" i="3"/>
  <c r="G338" i="3"/>
  <c r="R337" i="3"/>
  <c r="N337" i="3"/>
  <c r="I337" i="3"/>
  <c r="E337" i="3"/>
  <c r="P336" i="3"/>
  <c r="K336" i="3"/>
  <c r="G336" i="3"/>
  <c r="R335" i="3"/>
  <c r="N335" i="3"/>
  <c r="I335" i="3"/>
  <c r="E335" i="3"/>
  <c r="P334" i="3"/>
  <c r="K334" i="3"/>
  <c r="G334" i="3"/>
  <c r="R333" i="3"/>
  <c r="N333" i="3"/>
  <c r="I333" i="3"/>
  <c r="E333" i="3"/>
  <c r="P332" i="3"/>
  <c r="K332" i="3"/>
  <c r="G332" i="3"/>
  <c r="R331" i="3"/>
  <c r="N331" i="3"/>
  <c r="I331" i="3"/>
  <c r="E331" i="3"/>
  <c r="P330" i="3"/>
  <c r="K330" i="3"/>
  <c r="G330" i="3"/>
  <c r="R329" i="3"/>
  <c r="N329" i="3"/>
  <c r="I329" i="3"/>
  <c r="E329" i="3"/>
  <c r="P328" i="3"/>
  <c r="K328" i="3"/>
  <c r="S350" i="3"/>
  <c r="O350" i="3"/>
  <c r="J350" i="3"/>
  <c r="F350" i="3"/>
  <c r="Q349" i="3"/>
  <c r="L349" i="3"/>
  <c r="H349" i="3"/>
  <c r="S348" i="3"/>
  <c r="O348" i="3"/>
  <c r="J348" i="3"/>
  <c r="F348" i="3"/>
  <c r="Q347" i="3"/>
  <c r="L347" i="3"/>
  <c r="H347" i="3"/>
  <c r="S346" i="3"/>
  <c r="O346" i="3"/>
  <c r="J346" i="3"/>
  <c r="F346" i="3"/>
  <c r="Q345" i="3"/>
  <c r="L345" i="3"/>
  <c r="H345" i="3"/>
  <c r="S344" i="3"/>
  <c r="O344" i="3"/>
  <c r="J344" i="3"/>
  <c r="F344" i="3"/>
  <c r="Q343" i="3"/>
  <c r="L343" i="3"/>
  <c r="H343" i="3"/>
  <c r="S342" i="3"/>
  <c r="O342" i="3"/>
  <c r="J342" i="3"/>
  <c r="F342" i="3"/>
  <c r="Q341" i="3"/>
  <c r="L341" i="3"/>
  <c r="H341" i="3"/>
  <c r="S340" i="3"/>
  <c r="O340" i="3"/>
  <c r="J340" i="3"/>
  <c r="F340" i="3"/>
  <c r="Q339" i="3"/>
  <c r="L339" i="3"/>
  <c r="H339" i="3"/>
  <c r="S338" i="3"/>
  <c r="O338" i="3"/>
  <c r="J338" i="3"/>
  <c r="F338" i="3"/>
  <c r="Q337" i="3"/>
  <c r="L337" i="3"/>
  <c r="H337" i="3"/>
  <c r="S336" i="3"/>
  <c r="O336" i="3"/>
  <c r="J336" i="3"/>
  <c r="F336" i="3"/>
  <c r="Q335" i="3"/>
  <c r="L335" i="3"/>
  <c r="H335" i="3"/>
  <c r="S334" i="3"/>
  <c r="O334" i="3"/>
  <c r="J334" i="3"/>
  <c r="F334" i="3"/>
  <c r="Q333" i="3"/>
  <c r="L333" i="3"/>
  <c r="H333" i="3"/>
  <c r="S332" i="3"/>
  <c r="O332" i="3"/>
  <c r="J332" i="3"/>
  <c r="F332" i="3"/>
  <c r="Q331" i="3"/>
  <c r="L331" i="3"/>
  <c r="H331" i="3"/>
  <c r="S330" i="3"/>
  <c r="O330" i="3"/>
  <c r="J330" i="3"/>
  <c r="F330" i="3"/>
  <c r="Q329" i="3"/>
  <c r="L329" i="3"/>
  <c r="H329" i="3"/>
  <c r="S328" i="3"/>
  <c r="O328" i="3"/>
  <c r="J328" i="3"/>
  <c r="F328" i="3"/>
  <c r="Q327" i="3"/>
  <c r="R350" i="3"/>
  <c r="N350" i="3"/>
  <c r="I350" i="3"/>
  <c r="E350" i="3"/>
  <c r="P349" i="3"/>
  <c r="K349" i="3"/>
  <c r="G349" i="3"/>
  <c r="R348" i="3"/>
  <c r="N348" i="3"/>
  <c r="I348" i="3"/>
  <c r="E348" i="3"/>
  <c r="P347" i="3"/>
  <c r="K347" i="3"/>
  <c r="G347" i="3"/>
  <c r="R346" i="3"/>
  <c r="N346" i="3"/>
  <c r="I346" i="3"/>
  <c r="E346" i="3"/>
  <c r="P345" i="3"/>
  <c r="K345" i="3"/>
  <c r="G345" i="3"/>
  <c r="R344" i="3"/>
  <c r="N344" i="3"/>
  <c r="I344" i="3"/>
  <c r="E344" i="3"/>
  <c r="P343" i="3"/>
  <c r="K343" i="3"/>
  <c r="G343" i="3"/>
  <c r="R342" i="3"/>
  <c r="N342" i="3"/>
  <c r="I342" i="3"/>
  <c r="E342" i="3"/>
  <c r="P341" i="3"/>
  <c r="K341" i="3"/>
  <c r="G341" i="3"/>
  <c r="R340" i="3"/>
  <c r="N340" i="3"/>
  <c r="I340" i="3"/>
  <c r="E340" i="3"/>
  <c r="P339" i="3"/>
  <c r="K339" i="3"/>
  <c r="G339" i="3"/>
  <c r="R338" i="3"/>
  <c r="N338" i="3"/>
  <c r="I338" i="3"/>
  <c r="E338" i="3"/>
  <c r="P337" i="3"/>
  <c r="K337" i="3"/>
  <c r="G337" i="3"/>
  <c r="R336" i="3"/>
  <c r="N336" i="3"/>
  <c r="I336" i="3"/>
  <c r="E336" i="3"/>
  <c r="P335" i="3"/>
  <c r="K335" i="3"/>
  <c r="G335" i="3"/>
  <c r="R334" i="3"/>
  <c r="N334" i="3"/>
  <c r="I334" i="3"/>
  <c r="E334" i="3"/>
  <c r="P333" i="3"/>
  <c r="K333" i="3"/>
  <c r="G333" i="3"/>
  <c r="R332" i="3"/>
  <c r="N332" i="3"/>
  <c r="I332" i="3"/>
  <c r="E332" i="3"/>
  <c r="P331" i="3"/>
  <c r="K331" i="3"/>
  <c r="G331" i="3"/>
  <c r="R330" i="3"/>
  <c r="N330" i="3"/>
  <c r="I330" i="3"/>
  <c r="E330" i="3"/>
  <c r="P329" i="3"/>
  <c r="N328" i="3"/>
  <c r="R327" i="3"/>
  <c r="L327" i="3"/>
  <c r="H327" i="3"/>
  <c r="S326" i="3"/>
  <c r="O326" i="3"/>
  <c r="J326" i="3"/>
  <c r="F326" i="3"/>
  <c r="Q325" i="3"/>
  <c r="K325" i="3"/>
  <c r="G325" i="3"/>
  <c r="R324" i="3"/>
  <c r="N324" i="3"/>
  <c r="I324" i="3"/>
  <c r="E324" i="3"/>
  <c r="P323" i="3"/>
  <c r="K323" i="3"/>
  <c r="G323" i="3"/>
  <c r="R322" i="3"/>
  <c r="N322" i="3"/>
  <c r="I322" i="3"/>
  <c r="E322" i="3"/>
  <c r="P321" i="3"/>
  <c r="K321" i="3"/>
  <c r="G321" i="3"/>
  <c r="R320" i="3"/>
  <c r="N320" i="3"/>
  <c r="I320" i="3"/>
  <c r="E320" i="3"/>
  <c r="P319" i="3"/>
  <c r="K319" i="3"/>
  <c r="G319" i="3"/>
  <c r="R318" i="3"/>
  <c r="N318" i="3"/>
  <c r="I318" i="3"/>
  <c r="E318" i="3"/>
  <c r="P317" i="3"/>
  <c r="K317" i="3"/>
  <c r="G317" i="3"/>
  <c r="R316" i="3"/>
  <c r="N316" i="3"/>
  <c r="I316" i="3"/>
  <c r="E316" i="3"/>
  <c r="P315" i="3"/>
  <c r="K315" i="3"/>
  <c r="G315" i="3"/>
  <c r="R314" i="3"/>
  <c r="N314" i="3"/>
  <c r="I314" i="3"/>
  <c r="E314" i="3"/>
  <c r="P313" i="3"/>
  <c r="K313" i="3"/>
  <c r="G313" i="3"/>
  <c r="R312" i="3"/>
  <c r="N312" i="3"/>
  <c r="I312" i="3"/>
  <c r="E312" i="3"/>
  <c r="P311" i="3"/>
  <c r="K311" i="3"/>
  <c r="G311" i="3"/>
  <c r="R310" i="3"/>
  <c r="N310" i="3"/>
  <c r="I310" i="3"/>
  <c r="E310" i="3"/>
  <c r="P309" i="3"/>
  <c r="K309" i="3"/>
  <c r="G309" i="3"/>
  <c r="R308" i="3"/>
  <c r="N308" i="3"/>
  <c r="I308" i="3"/>
  <c r="E308" i="3"/>
  <c r="P307" i="3"/>
  <c r="K307" i="3"/>
  <c r="G307" i="3"/>
  <c r="R306" i="3"/>
  <c r="L306" i="3"/>
  <c r="G306" i="3"/>
  <c r="R305" i="3"/>
  <c r="N305" i="3"/>
  <c r="I305" i="3"/>
  <c r="E305" i="3"/>
  <c r="P304" i="3"/>
  <c r="K304" i="3"/>
  <c r="G304" i="3"/>
  <c r="R303" i="3"/>
  <c r="K329" i="3"/>
  <c r="I328" i="3"/>
  <c r="P327" i="3"/>
  <c r="K327" i="3"/>
  <c r="G327" i="3"/>
  <c r="R326" i="3"/>
  <c r="N326" i="3"/>
  <c r="I326" i="3"/>
  <c r="E326" i="3"/>
  <c r="P325" i="3"/>
  <c r="J325" i="3"/>
  <c r="F325" i="3"/>
  <c r="Q324" i="3"/>
  <c r="L324" i="3"/>
  <c r="H324" i="3"/>
  <c r="S323" i="3"/>
  <c r="O323" i="3"/>
  <c r="J323" i="3"/>
  <c r="F323" i="3"/>
  <c r="Q322" i="3"/>
  <c r="L322" i="3"/>
  <c r="H322" i="3"/>
  <c r="S321" i="3"/>
  <c r="O321" i="3"/>
  <c r="J321" i="3"/>
  <c r="F321" i="3"/>
  <c r="Q320" i="3"/>
  <c r="L320" i="3"/>
  <c r="H320" i="3"/>
  <c r="S319" i="3"/>
  <c r="O319" i="3"/>
  <c r="J319" i="3"/>
  <c r="F319" i="3"/>
  <c r="Q318" i="3"/>
  <c r="L318" i="3"/>
  <c r="H318" i="3"/>
  <c r="S317" i="3"/>
  <c r="O317" i="3"/>
  <c r="J317" i="3"/>
  <c r="F317" i="3"/>
  <c r="Q316" i="3"/>
  <c r="L316" i="3"/>
  <c r="H316" i="3"/>
  <c r="S315" i="3"/>
  <c r="O315" i="3"/>
  <c r="J315" i="3"/>
  <c r="F315" i="3"/>
  <c r="Q314" i="3"/>
  <c r="L314" i="3"/>
  <c r="H314" i="3"/>
  <c r="S313" i="3"/>
  <c r="O313" i="3"/>
  <c r="J313" i="3"/>
  <c r="F313" i="3"/>
  <c r="Q312" i="3"/>
  <c r="L312" i="3"/>
  <c r="H312" i="3"/>
  <c r="S311" i="3"/>
  <c r="O311" i="3"/>
  <c r="J311" i="3"/>
  <c r="F311" i="3"/>
  <c r="Q310" i="3"/>
  <c r="L310" i="3"/>
  <c r="H310" i="3"/>
  <c r="S309" i="3"/>
  <c r="O309" i="3"/>
  <c r="J309" i="3"/>
  <c r="F309" i="3"/>
  <c r="S307" i="3"/>
  <c r="O307" i="3"/>
  <c r="J307" i="3"/>
  <c r="F307" i="3"/>
  <c r="P306" i="3"/>
  <c r="K306" i="3"/>
  <c r="F306" i="3"/>
  <c r="Q305" i="3"/>
  <c r="L305" i="3"/>
  <c r="H305" i="3"/>
  <c r="S304" i="3"/>
  <c r="G329" i="3"/>
  <c r="G328" i="3"/>
  <c r="J327" i="3"/>
  <c r="Q326" i="3"/>
  <c r="L326" i="3"/>
  <c r="H326" i="3"/>
  <c r="S325" i="3"/>
  <c r="N325" i="3"/>
  <c r="I325" i="3"/>
  <c r="E325" i="3"/>
  <c r="P324" i="3"/>
  <c r="K324" i="3"/>
  <c r="G324" i="3"/>
  <c r="R323" i="3"/>
  <c r="N323" i="3"/>
  <c r="I323" i="3"/>
  <c r="E323" i="3"/>
  <c r="P322" i="3"/>
  <c r="K322" i="3"/>
  <c r="G322" i="3"/>
  <c r="R321" i="3"/>
  <c r="N321" i="3"/>
  <c r="I321" i="3"/>
  <c r="E321" i="3"/>
  <c r="P320" i="3"/>
  <c r="K320" i="3"/>
  <c r="G320" i="3"/>
  <c r="R319" i="3"/>
  <c r="N319" i="3"/>
  <c r="I319" i="3"/>
  <c r="E319" i="3"/>
  <c r="P318" i="3"/>
  <c r="K318" i="3"/>
  <c r="G318" i="3"/>
  <c r="R317" i="3"/>
  <c r="N317" i="3"/>
  <c r="I317" i="3"/>
  <c r="E317" i="3"/>
  <c r="P316" i="3"/>
  <c r="K316" i="3"/>
  <c r="G316" i="3"/>
  <c r="R315" i="3"/>
  <c r="N315" i="3"/>
  <c r="I315" i="3"/>
  <c r="E315" i="3"/>
  <c r="P314" i="3"/>
  <c r="K314" i="3"/>
  <c r="G314" i="3"/>
  <c r="R313" i="3"/>
  <c r="N313" i="3"/>
  <c r="I313" i="3"/>
  <c r="E313" i="3"/>
  <c r="P312" i="3"/>
  <c r="K312" i="3"/>
  <c r="G312" i="3"/>
  <c r="R311" i="3"/>
  <c r="N311" i="3"/>
  <c r="I311" i="3"/>
  <c r="E311" i="3"/>
  <c r="P310" i="3"/>
  <c r="K310" i="3"/>
  <c r="G310" i="3"/>
  <c r="R309" i="3"/>
  <c r="N309" i="3"/>
  <c r="I309" i="3"/>
  <c r="E309" i="3"/>
  <c r="P308" i="3"/>
  <c r="K308" i="3"/>
  <c r="G308" i="3"/>
  <c r="R307" i="3"/>
  <c r="N307" i="3"/>
  <c r="I307" i="3"/>
  <c r="E307" i="3"/>
  <c r="I306" i="3"/>
  <c r="E306" i="3"/>
  <c r="P305" i="3"/>
  <c r="K305" i="3"/>
  <c r="G305" i="3"/>
  <c r="R304" i="3"/>
  <c r="N304" i="3"/>
  <c r="I304" i="3"/>
  <c r="E304" i="3"/>
  <c r="R328" i="3"/>
  <c r="E328" i="3"/>
  <c r="N327" i="3"/>
  <c r="I327" i="3"/>
  <c r="E327" i="3"/>
  <c r="P326" i="3"/>
  <c r="K326" i="3"/>
  <c r="G326" i="3"/>
  <c r="R325" i="3"/>
  <c r="L325" i="3"/>
  <c r="H325" i="3"/>
  <c r="S324" i="3"/>
  <c r="O324" i="3"/>
  <c r="J324" i="3"/>
  <c r="F324" i="3"/>
  <c r="Q323" i="3"/>
  <c r="L323" i="3"/>
  <c r="H323" i="3"/>
  <c r="S322" i="3"/>
  <c r="O322" i="3"/>
  <c r="J322" i="3"/>
  <c r="F322" i="3"/>
  <c r="Q321" i="3"/>
  <c r="L321" i="3"/>
  <c r="H321" i="3"/>
  <c r="S320" i="3"/>
  <c r="O320" i="3"/>
  <c r="J320" i="3"/>
  <c r="F320" i="3"/>
  <c r="Q319" i="3"/>
  <c r="L319" i="3"/>
  <c r="H319" i="3"/>
  <c r="S318" i="3"/>
  <c r="O318" i="3"/>
  <c r="J318" i="3"/>
  <c r="F318" i="3"/>
  <c r="Q317" i="3"/>
  <c r="L317" i="3"/>
  <c r="H317" i="3"/>
  <c r="S316" i="3"/>
  <c r="O316" i="3"/>
  <c r="J316" i="3"/>
  <c r="F316" i="3"/>
  <c r="Q315" i="3"/>
  <c r="L315" i="3"/>
  <c r="H315" i="3"/>
  <c r="S314" i="3"/>
  <c r="O314" i="3"/>
  <c r="J314" i="3"/>
  <c r="F314" i="3"/>
  <c r="Q313" i="3"/>
  <c r="L313" i="3"/>
  <c r="H313" i="3"/>
  <c r="S312" i="3"/>
  <c r="O312" i="3"/>
  <c r="J312" i="3"/>
  <c r="F312" i="3"/>
  <c r="Q311" i="3"/>
  <c r="L311" i="3"/>
  <c r="H311" i="3"/>
  <c r="S310" i="3"/>
  <c r="O310" i="3"/>
  <c r="J310" i="3"/>
  <c r="F310" i="3"/>
  <c r="Q309" i="3"/>
  <c r="L309" i="3"/>
  <c r="H309" i="3"/>
  <c r="S308" i="3"/>
  <c r="Q307" i="3"/>
  <c r="L307" i="3"/>
  <c r="H307" i="3"/>
  <c r="S306" i="3"/>
  <c r="N306" i="3"/>
  <c r="H306" i="3"/>
  <c r="S305" i="3"/>
  <c r="O305" i="3"/>
  <c r="J305" i="3"/>
  <c r="F305" i="3"/>
  <c r="J304" i="3"/>
  <c r="Q303" i="3"/>
  <c r="L303" i="3"/>
  <c r="H303" i="3"/>
  <c r="S302" i="3"/>
  <c r="O302" i="3"/>
  <c r="J302" i="3"/>
  <c r="F302" i="3"/>
  <c r="Q301" i="3"/>
  <c r="L301" i="3"/>
  <c r="H301" i="3"/>
  <c r="S300" i="3"/>
  <c r="O300" i="3"/>
  <c r="J300" i="3"/>
  <c r="F300" i="3"/>
  <c r="L299" i="3"/>
  <c r="S298" i="3"/>
  <c r="O298" i="3"/>
  <c r="J298" i="3"/>
  <c r="F298" i="3"/>
  <c r="Q297" i="3"/>
  <c r="L297" i="3"/>
  <c r="H297" i="3"/>
  <c r="S296" i="3"/>
  <c r="O296" i="3"/>
  <c r="J296" i="3"/>
  <c r="F296" i="3"/>
  <c r="Q295" i="3"/>
  <c r="L295" i="3"/>
  <c r="H295" i="3"/>
  <c r="S294" i="3"/>
  <c r="O294" i="3"/>
  <c r="J294" i="3"/>
  <c r="F294" i="3"/>
  <c r="Q293" i="3"/>
  <c r="L293" i="3"/>
  <c r="H293" i="3"/>
  <c r="S292" i="3"/>
  <c r="O292" i="3"/>
  <c r="J292" i="3"/>
  <c r="F292" i="3"/>
  <c r="Q291" i="3"/>
  <c r="L291" i="3"/>
  <c r="H291" i="3"/>
  <c r="S290" i="3"/>
  <c r="O290" i="3"/>
  <c r="F290" i="3"/>
  <c r="Q289" i="3"/>
  <c r="L289" i="3"/>
  <c r="H289" i="3"/>
  <c r="S288" i="3"/>
  <c r="O288" i="3"/>
  <c r="F288" i="3"/>
  <c r="Q287" i="3"/>
  <c r="L287" i="3"/>
  <c r="H287" i="3"/>
  <c r="S286" i="3"/>
  <c r="O286" i="3"/>
  <c r="J286" i="3"/>
  <c r="F286" i="3"/>
  <c r="Q285" i="3"/>
  <c r="L285" i="3"/>
  <c r="H285" i="3"/>
  <c r="S284" i="3"/>
  <c r="J284" i="3"/>
  <c r="H283" i="3"/>
  <c r="S282" i="3"/>
  <c r="J282" i="3"/>
  <c r="S280" i="3"/>
  <c r="J280" i="3"/>
  <c r="Q304" i="3"/>
  <c r="H304" i="3"/>
  <c r="P303" i="3"/>
  <c r="K303" i="3"/>
  <c r="G303" i="3"/>
  <c r="R302" i="3"/>
  <c r="N302" i="3"/>
  <c r="I302" i="3"/>
  <c r="E302" i="3"/>
  <c r="P301" i="3"/>
  <c r="K301" i="3"/>
  <c r="G301" i="3"/>
  <c r="R300" i="3"/>
  <c r="N300" i="3"/>
  <c r="I300" i="3"/>
  <c r="E300" i="3"/>
  <c r="P299" i="3"/>
  <c r="K299" i="3"/>
  <c r="G299" i="3"/>
  <c r="R298" i="3"/>
  <c r="N298" i="3"/>
  <c r="I298" i="3"/>
  <c r="E298" i="3"/>
  <c r="P297" i="3"/>
  <c r="K297" i="3"/>
  <c r="G297" i="3"/>
  <c r="R296" i="3"/>
  <c r="N296" i="3"/>
  <c r="I296" i="3"/>
  <c r="E296" i="3"/>
  <c r="P295" i="3"/>
  <c r="K295" i="3"/>
  <c r="G295" i="3"/>
  <c r="R294" i="3"/>
  <c r="N294" i="3"/>
  <c r="I294" i="3"/>
  <c r="E294" i="3"/>
  <c r="P293" i="3"/>
  <c r="K293" i="3"/>
  <c r="G293" i="3"/>
  <c r="R292" i="3"/>
  <c r="N292" i="3"/>
  <c r="I292" i="3"/>
  <c r="E292" i="3"/>
  <c r="P291" i="3"/>
  <c r="K291" i="3"/>
  <c r="G291" i="3"/>
  <c r="R290" i="3"/>
  <c r="N290" i="3"/>
  <c r="I290" i="3"/>
  <c r="E290" i="3"/>
  <c r="P289" i="3"/>
  <c r="K289" i="3"/>
  <c r="G289" i="3"/>
  <c r="R288" i="3"/>
  <c r="N288" i="3"/>
  <c r="I288" i="3"/>
  <c r="E288" i="3"/>
  <c r="P287" i="3"/>
  <c r="K287" i="3"/>
  <c r="G287" i="3"/>
  <c r="R286" i="3"/>
  <c r="N286" i="3"/>
  <c r="I286" i="3"/>
  <c r="E286" i="3"/>
  <c r="P285" i="3"/>
  <c r="K285" i="3"/>
  <c r="G285" i="3"/>
  <c r="R284" i="3"/>
  <c r="N284" i="3"/>
  <c r="I284" i="3"/>
  <c r="E284" i="3"/>
  <c r="P283" i="3"/>
  <c r="K283" i="3"/>
  <c r="G283" i="3"/>
  <c r="R282" i="3"/>
  <c r="N282" i="3"/>
  <c r="I282" i="3"/>
  <c r="E282" i="3"/>
  <c r="P281" i="3"/>
  <c r="K281" i="3"/>
  <c r="G281" i="3"/>
  <c r="R280" i="3"/>
  <c r="N280" i="3"/>
  <c r="I280" i="3"/>
  <c r="O304" i="3"/>
  <c r="F304" i="3"/>
  <c r="O303" i="3"/>
  <c r="J303" i="3"/>
  <c r="F303" i="3"/>
  <c r="Q302" i="3"/>
  <c r="L302" i="3"/>
  <c r="H302" i="3"/>
  <c r="S301" i="3"/>
  <c r="O301" i="3"/>
  <c r="J301" i="3"/>
  <c r="F301" i="3"/>
  <c r="Q300" i="3"/>
  <c r="L300" i="3"/>
  <c r="H300" i="3"/>
  <c r="S299" i="3"/>
  <c r="O299" i="3"/>
  <c r="J299" i="3"/>
  <c r="Q298" i="3"/>
  <c r="L298" i="3"/>
  <c r="H298" i="3"/>
  <c r="S297" i="3"/>
  <c r="O297" i="3"/>
  <c r="J297" i="3"/>
  <c r="F297" i="3"/>
  <c r="Q296" i="3"/>
  <c r="L296" i="3"/>
  <c r="H296" i="3"/>
  <c r="S295" i="3"/>
  <c r="O295" i="3"/>
  <c r="J295" i="3"/>
  <c r="F295" i="3"/>
  <c r="Q294" i="3"/>
  <c r="L294" i="3"/>
  <c r="H294" i="3"/>
  <c r="S293" i="3"/>
  <c r="O293" i="3"/>
  <c r="J293" i="3"/>
  <c r="F293" i="3"/>
  <c r="Q292" i="3"/>
  <c r="L292" i="3"/>
  <c r="H292" i="3"/>
  <c r="S291" i="3"/>
  <c r="O291" i="3"/>
  <c r="J291" i="3"/>
  <c r="F291" i="3"/>
  <c r="Q290" i="3"/>
  <c r="S289" i="3"/>
  <c r="O289" i="3"/>
  <c r="J289" i="3"/>
  <c r="F289" i="3"/>
  <c r="Q288" i="3"/>
  <c r="L288" i="3"/>
  <c r="H288" i="3"/>
  <c r="S287" i="3"/>
  <c r="O287" i="3"/>
  <c r="J287" i="3"/>
  <c r="F287" i="3"/>
  <c r="Q286" i="3"/>
  <c r="L286" i="3"/>
  <c r="H286" i="3"/>
  <c r="S285" i="3"/>
  <c r="O285" i="3"/>
  <c r="J285" i="3"/>
  <c r="F285" i="3"/>
  <c r="S283" i="3"/>
  <c r="O283" i="3"/>
  <c r="J283" i="3"/>
  <c r="Q282" i="3"/>
  <c r="L282" i="3"/>
  <c r="H282" i="3"/>
  <c r="H280" i="3"/>
  <c r="S279" i="3"/>
  <c r="L304" i="3"/>
  <c r="S303" i="3"/>
  <c r="N303" i="3"/>
  <c r="I303" i="3"/>
  <c r="E303" i="3"/>
  <c r="P302" i="3"/>
  <c r="K302" i="3"/>
  <c r="G302" i="3"/>
  <c r="R301" i="3"/>
  <c r="N301" i="3"/>
  <c r="I301" i="3"/>
  <c r="E301" i="3"/>
  <c r="P300" i="3"/>
  <c r="K300" i="3"/>
  <c r="G300" i="3"/>
  <c r="R299" i="3"/>
  <c r="N299" i="3"/>
  <c r="I299" i="3"/>
  <c r="E299" i="3"/>
  <c r="P298" i="3"/>
  <c r="K298" i="3"/>
  <c r="G298" i="3"/>
  <c r="R297" i="3"/>
  <c r="N297" i="3"/>
  <c r="I297" i="3"/>
  <c r="E297" i="3"/>
  <c r="P296" i="3"/>
  <c r="K296" i="3"/>
  <c r="G296" i="3"/>
  <c r="R295" i="3"/>
  <c r="N295" i="3"/>
  <c r="I295" i="3"/>
  <c r="E295" i="3"/>
  <c r="P294" i="3"/>
  <c r="K294" i="3"/>
  <c r="G294" i="3"/>
  <c r="R293" i="3"/>
  <c r="N293" i="3"/>
  <c r="I293" i="3"/>
  <c r="E293" i="3"/>
  <c r="P292" i="3"/>
  <c r="K292" i="3"/>
  <c r="G292" i="3"/>
  <c r="R291" i="3"/>
  <c r="N291" i="3"/>
  <c r="I291" i="3"/>
  <c r="E291" i="3"/>
  <c r="P290" i="3"/>
  <c r="K290" i="3"/>
  <c r="G290" i="3"/>
  <c r="R289" i="3"/>
  <c r="N289" i="3"/>
  <c r="I289" i="3"/>
  <c r="E289" i="3"/>
  <c r="P288" i="3"/>
  <c r="K288" i="3"/>
  <c r="G288" i="3"/>
  <c r="R287" i="3"/>
  <c r="N287" i="3"/>
  <c r="I287" i="3"/>
  <c r="E287" i="3"/>
  <c r="P286" i="3"/>
  <c r="K286" i="3"/>
  <c r="G286" i="3"/>
  <c r="R285" i="3"/>
  <c r="N285" i="3"/>
  <c r="I285" i="3"/>
  <c r="E285" i="3"/>
  <c r="P284" i="3"/>
  <c r="K284" i="3"/>
  <c r="G284" i="3"/>
  <c r="R283" i="3"/>
  <c r="N283" i="3"/>
  <c r="I283" i="3"/>
  <c r="E283" i="3"/>
  <c r="P282" i="3"/>
  <c r="K282" i="3"/>
  <c r="G282" i="3"/>
  <c r="R281" i="3"/>
  <c r="N281" i="3"/>
  <c r="I281" i="3"/>
  <c r="E281" i="3"/>
  <c r="P280" i="3"/>
  <c r="K280" i="3"/>
  <c r="G280" i="3"/>
  <c r="P279" i="3"/>
  <c r="K279" i="3"/>
  <c r="G279" i="3"/>
  <c r="R278" i="3"/>
  <c r="N278" i="3"/>
  <c r="I278" i="3"/>
  <c r="E278" i="3"/>
  <c r="P277" i="3"/>
  <c r="K277" i="3"/>
  <c r="G277" i="3"/>
  <c r="R276" i="3"/>
  <c r="N276" i="3"/>
  <c r="I276" i="3"/>
  <c r="E276" i="3"/>
  <c r="P275" i="3"/>
  <c r="K275" i="3"/>
  <c r="G275" i="3"/>
  <c r="R274" i="3"/>
  <c r="N274" i="3"/>
  <c r="I274" i="3"/>
  <c r="E274" i="3"/>
  <c r="P273" i="3"/>
  <c r="K273" i="3"/>
  <c r="G273" i="3"/>
  <c r="R272" i="3"/>
  <c r="N272" i="3"/>
  <c r="I272" i="3"/>
  <c r="E272" i="3"/>
  <c r="P271" i="3"/>
  <c r="K271" i="3"/>
  <c r="G271" i="3"/>
  <c r="R270" i="3"/>
  <c r="N270" i="3"/>
  <c r="I270" i="3"/>
  <c r="E270" i="3"/>
  <c r="P269" i="3"/>
  <c r="K269" i="3"/>
  <c r="G269" i="3"/>
  <c r="R268" i="3"/>
  <c r="N268" i="3"/>
  <c r="I268" i="3"/>
  <c r="E268" i="3"/>
  <c r="P267" i="3"/>
  <c r="K267" i="3"/>
  <c r="G267" i="3"/>
  <c r="R266" i="3"/>
  <c r="N266" i="3"/>
  <c r="I266" i="3"/>
  <c r="E266" i="3"/>
  <c r="P265" i="3"/>
  <c r="K265" i="3"/>
  <c r="G265" i="3"/>
  <c r="R264" i="3"/>
  <c r="N264" i="3"/>
  <c r="I264" i="3"/>
  <c r="E264" i="3"/>
  <c r="P263" i="3"/>
  <c r="K263" i="3"/>
  <c r="G263" i="3"/>
  <c r="R262" i="3"/>
  <c r="N262" i="3"/>
  <c r="I262" i="3"/>
  <c r="E262" i="3"/>
  <c r="P261" i="3"/>
  <c r="K261" i="3"/>
  <c r="G261" i="3"/>
  <c r="R260" i="3"/>
  <c r="N260" i="3"/>
  <c r="I260" i="3"/>
  <c r="E260" i="3"/>
  <c r="P259" i="3"/>
  <c r="K259" i="3"/>
  <c r="G259" i="3"/>
  <c r="R258" i="3"/>
  <c r="N258" i="3"/>
  <c r="I258" i="3"/>
  <c r="E258" i="3"/>
  <c r="P257" i="3"/>
  <c r="K257" i="3"/>
  <c r="G257" i="3"/>
  <c r="R256" i="3"/>
  <c r="N256" i="3"/>
  <c r="I256" i="3"/>
  <c r="E256" i="3"/>
  <c r="P255" i="3"/>
  <c r="K255" i="3"/>
  <c r="G255" i="3"/>
  <c r="R254" i="3"/>
  <c r="N254" i="3"/>
  <c r="I254" i="3"/>
  <c r="E280" i="3"/>
  <c r="O279" i="3"/>
  <c r="J279" i="3"/>
  <c r="F279" i="3"/>
  <c r="Q278" i="3"/>
  <c r="L278" i="3"/>
  <c r="H278" i="3"/>
  <c r="Q276" i="3"/>
  <c r="S275" i="3"/>
  <c r="O275" i="3"/>
  <c r="F275" i="3"/>
  <c r="Q274" i="3"/>
  <c r="L274" i="3"/>
  <c r="H274" i="3"/>
  <c r="S273" i="3"/>
  <c r="O273" i="3"/>
  <c r="J273" i="3"/>
  <c r="F273" i="3"/>
  <c r="Q272" i="3"/>
  <c r="L272" i="3"/>
  <c r="H272" i="3"/>
  <c r="S271" i="3"/>
  <c r="J271" i="3"/>
  <c r="Q270" i="3"/>
  <c r="L270" i="3"/>
  <c r="H270" i="3"/>
  <c r="S269" i="3"/>
  <c r="J269" i="3"/>
  <c r="Q268" i="3"/>
  <c r="L268" i="3"/>
  <c r="H268" i="3"/>
  <c r="J267" i="3"/>
  <c r="Q266" i="3"/>
  <c r="L266" i="3"/>
  <c r="H266" i="3"/>
  <c r="S265" i="3"/>
  <c r="H264" i="3"/>
  <c r="F263" i="3"/>
  <c r="Q262" i="3"/>
  <c r="O261" i="3"/>
  <c r="J261" i="3"/>
  <c r="F261" i="3"/>
  <c r="Q260" i="3"/>
  <c r="L260" i="3"/>
  <c r="H260" i="3"/>
  <c r="S259" i="3"/>
  <c r="O259" i="3"/>
  <c r="J259" i="3"/>
  <c r="Q258" i="3"/>
  <c r="L258" i="3"/>
  <c r="H258" i="3"/>
  <c r="S257" i="3"/>
  <c r="O257" i="3"/>
  <c r="J257" i="3"/>
  <c r="F257" i="3"/>
  <c r="Q256" i="3"/>
  <c r="S255" i="3"/>
  <c r="Q254" i="3"/>
  <c r="R279" i="3"/>
  <c r="N279" i="3"/>
  <c r="I279" i="3"/>
  <c r="E279" i="3"/>
  <c r="P278" i="3"/>
  <c r="K278" i="3"/>
  <c r="G278" i="3"/>
  <c r="R277" i="3"/>
  <c r="N277" i="3"/>
  <c r="I277" i="3"/>
  <c r="E277" i="3"/>
  <c r="P276" i="3"/>
  <c r="K276" i="3"/>
  <c r="G276" i="3"/>
  <c r="R275" i="3"/>
  <c r="N275" i="3"/>
  <c r="I275" i="3"/>
  <c r="E275" i="3"/>
  <c r="P274" i="3"/>
  <c r="K274" i="3"/>
  <c r="G274" i="3"/>
  <c r="R273" i="3"/>
  <c r="N273" i="3"/>
  <c r="I273" i="3"/>
  <c r="E273" i="3"/>
  <c r="P272" i="3"/>
  <c r="K272" i="3"/>
  <c r="G272" i="3"/>
  <c r="R271" i="3"/>
  <c r="N271" i="3"/>
  <c r="I271" i="3"/>
  <c r="E271" i="3"/>
  <c r="P270" i="3"/>
  <c r="K270" i="3"/>
  <c r="G270" i="3"/>
  <c r="R269" i="3"/>
  <c r="N269" i="3"/>
  <c r="I269" i="3"/>
  <c r="E269" i="3"/>
  <c r="P268" i="3"/>
  <c r="K268" i="3"/>
  <c r="G268" i="3"/>
  <c r="R267" i="3"/>
  <c r="N267" i="3"/>
  <c r="I267" i="3"/>
  <c r="E267" i="3"/>
  <c r="P266" i="3"/>
  <c r="K266" i="3"/>
  <c r="G266" i="3"/>
  <c r="R265" i="3"/>
  <c r="N265" i="3"/>
  <c r="I265" i="3"/>
  <c r="E265" i="3"/>
  <c r="P264" i="3"/>
  <c r="K264" i="3"/>
  <c r="G264" i="3"/>
  <c r="R263" i="3"/>
  <c r="N263" i="3"/>
  <c r="I263" i="3"/>
  <c r="E263" i="3"/>
  <c r="P262" i="3"/>
  <c r="K262" i="3"/>
  <c r="G262" i="3"/>
  <c r="R261" i="3"/>
  <c r="N261" i="3"/>
  <c r="I261" i="3"/>
  <c r="E261" i="3"/>
  <c r="P260" i="3"/>
  <c r="K260" i="3"/>
  <c r="G260" i="3"/>
  <c r="R259" i="3"/>
  <c r="N259" i="3"/>
  <c r="I259" i="3"/>
  <c r="E259" i="3"/>
  <c r="P258" i="3"/>
  <c r="K258" i="3"/>
  <c r="G258" i="3"/>
  <c r="R257" i="3"/>
  <c r="N257" i="3"/>
  <c r="I257" i="3"/>
  <c r="E257" i="3"/>
  <c r="P256" i="3"/>
  <c r="K256" i="3"/>
  <c r="G256" i="3"/>
  <c r="R255" i="3"/>
  <c r="N255" i="3"/>
  <c r="I255" i="3"/>
  <c r="E255" i="3"/>
  <c r="P254" i="3"/>
  <c r="K254" i="3"/>
  <c r="Q279" i="3"/>
  <c r="L279" i="3"/>
  <c r="H279" i="3"/>
  <c r="S278" i="3"/>
  <c r="O278" i="3"/>
  <c r="J278" i="3"/>
  <c r="F278" i="3"/>
  <c r="S276" i="3"/>
  <c r="Q275" i="3"/>
  <c r="S274" i="3"/>
  <c r="J274" i="3"/>
  <c r="Q273" i="3"/>
  <c r="L273" i="3"/>
  <c r="H273" i="3"/>
  <c r="S272" i="3"/>
  <c r="O272" i="3"/>
  <c r="J272" i="3"/>
  <c r="F272" i="3"/>
  <c r="Q271" i="3"/>
  <c r="L271" i="3"/>
  <c r="H271" i="3"/>
  <c r="S270" i="3"/>
  <c r="O270" i="3"/>
  <c r="J270" i="3"/>
  <c r="F270" i="3"/>
  <c r="Q269" i="3"/>
  <c r="L269" i="3"/>
  <c r="H269" i="3"/>
  <c r="S268" i="3"/>
  <c r="O268" i="3"/>
  <c r="J268" i="3"/>
  <c r="F268" i="3"/>
  <c r="Q267" i="3"/>
  <c r="L267" i="3"/>
  <c r="H267" i="3"/>
  <c r="S266" i="3"/>
  <c r="O266" i="3"/>
  <c r="J266" i="3"/>
  <c r="F266" i="3"/>
  <c r="Q263" i="3"/>
  <c r="L263" i="3"/>
  <c r="H263" i="3"/>
  <c r="Q261" i="3"/>
  <c r="L261" i="3"/>
  <c r="H261" i="3"/>
  <c r="S260" i="3"/>
  <c r="J260" i="3"/>
  <c r="Q259" i="3"/>
  <c r="L259" i="3"/>
  <c r="H259" i="3"/>
  <c r="S258" i="3"/>
  <c r="J258" i="3"/>
  <c r="F258" i="3"/>
  <c r="Q257" i="3"/>
  <c r="L257" i="3"/>
  <c r="H257" i="3"/>
  <c r="S256" i="3"/>
  <c r="O256" i="3"/>
  <c r="L255" i="3"/>
  <c r="F254" i="3"/>
  <c r="Q253" i="3"/>
  <c r="L253" i="3"/>
  <c r="H253" i="3"/>
  <c r="E254" i="3"/>
  <c r="P253" i="3"/>
  <c r="K253" i="3"/>
  <c r="G253" i="3"/>
  <c r="S254" i="3"/>
  <c r="H254" i="3"/>
  <c r="S253" i="3"/>
  <c r="J253" i="3"/>
  <c r="O254" i="3"/>
  <c r="G254" i="3"/>
  <c r="R253" i="3"/>
  <c r="N253" i="3"/>
  <c r="I253" i="3"/>
  <c r="E253" i="3"/>
  <c r="G228" i="3"/>
  <c r="H227" i="3"/>
  <c r="I226" i="3"/>
  <c r="J225" i="3"/>
  <c r="F225" i="3"/>
  <c r="G224" i="3"/>
  <c r="H223" i="3"/>
  <c r="I222" i="3"/>
  <c r="J221" i="3"/>
  <c r="F221" i="3"/>
  <c r="G220" i="3"/>
  <c r="H219" i="3"/>
  <c r="I218" i="3"/>
  <c r="J217" i="3"/>
  <c r="F217" i="3"/>
  <c r="G216" i="3"/>
  <c r="H215" i="3"/>
  <c r="J213" i="3"/>
  <c r="F213" i="3"/>
  <c r="G212" i="3"/>
  <c r="H211" i="3"/>
  <c r="I210" i="3"/>
  <c r="J209" i="3"/>
  <c r="F209" i="3"/>
  <c r="G208" i="3"/>
  <c r="H207" i="3"/>
  <c r="I206" i="3"/>
  <c r="G204" i="3"/>
  <c r="H202" i="3"/>
  <c r="I201" i="3"/>
  <c r="J200" i="3"/>
  <c r="F200" i="3"/>
  <c r="G199" i="3"/>
  <c r="H198" i="3"/>
  <c r="I197" i="3"/>
  <c r="J196" i="3"/>
  <c r="F196" i="3"/>
  <c r="G195" i="3"/>
  <c r="H194" i="3"/>
  <c r="J192" i="3"/>
  <c r="F192" i="3"/>
  <c r="H190" i="3"/>
  <c r="I189" i="3"/>
  <c r="J188" i="3"/>
  <c r="F188" i="3"/>
  <c r="G187" i="3"/>
  <c r="I185" i="3"/>
  <c r="J183" i="3"/>
  <c r="F183" i="3"/>
  <c r="I176" i="3"/>
  <c r="J175" i="3"/>
  <c r="F175" i="3"/>
  <c r="G174" i="3"/>
  <c r="H173" i="3"/>
  <c r="I172" i="3"/>
  <c r="J171" i="3"/>
  <c r="F171" i="3"/>
  <c r="G170" i="3"/>
  <c r="H169" i="3"/>
  <c r="J167" i="3"/>
  <c r="F167" i="3"/>
  <c r="H165" i="3"/>
  <c r="I164" i="3"/>
  <c r="J163" i="3"/>
  <c r="F163" i="3"/>
  <c r="H157" i="3"/>
  <c r="I156" i="3"/>
  <c r="J151" i="3"/>
  <c r="F151" i="3"/>
  <c r="G150" i="3"/>
  <c r="I148" i="3"/>
  <c r="G146" i="3"/>
  <c r="I144" i="3"/>
  <c r="J135" i="3"/>
  <c r="F135" i="3"/>
  <c r="J228" i="3"/>
  <c r="F228" i="3"/>
  <c r="G227" i="3"/>
  <c r="H226" i="3"/>
  <c r="I225" i="3"/>
  <c r="J224" i="3"/>
  <c r="F224" i="3"/>
  <c r="G223" i="3"/>
  <c r="H222" i="3"/>
  <c r="I221" i="3"/>
  <c r="J220" i="3"/>
  <c r="F220" i="3"/>
  <c r="G219" i="3"/>
  <c r="H218" i="3"/>
  <c r="I217" i="3"/>
  <c r="J216" i="3"/>
  <c r="F216" i="3"/>
  <c r="G215" i="3"/>
  <c r="I213" i="3"/>
  <c r="J212" i="3"/>
  <c r="F212" i="3"/>
  <c r="G211" i="3"/>
  <c r="H210" i="3"/>
  <c r="I209" i="3"/>
  <c r="J208" i="3"/>
  <c r="F208" i="3"/>
  <c r="G207" i="3"/>
  <c r="H206" i="3"/>
  <c r="J204" i="3"/>
  <c r="F204" i="3"/>
  <c r="G202" i="3"/>
  <c r="H201" i="3"/>
  <c r="I200" i="3"/>
  <c r="J199" i="3"/>
  <c r="F199" i="3"/>
  <c r="G198" i="3"/>
  <c r="H197" i="3"/>
  <c r="I196" i="3"/>
  <c r="J195" i="3"/>
  <c r="F195" i="3"/>
  <c r="G194" i="3"/>
  <c r="I192" i="3"/>
  <c r="G190" i="3"/>
  <c r="H189" i="3"/>
  <c r="I188" i="3"/>
  <c r="J187" i="3"/>
  <c r="F187" i="3"/>
  <c r="H185" i="3"/>
  <c r="I183" i="3"/>
  <c r="H176" i="3"/>
  <c r="I175" i="3"/>
  <c r="J174" i="3"/>
  <c r="F174" i="3"/>
  <c r="G173" i="3"/>
  <c r="H172" i="3"/>
  <c r="I171" i="3"/>
  <c r="J170" i="3"/>
  <c r="F170" i="3"/>
  <c r="G169" i="3"/>
  <c r="I167" i="3"/>
  <c r="G165" i="3"/>
  <c r="H164" i="3"/>
  <c r="I163" i="3"/>
  <c r="G157" i="3"/>
  <c r="H156" i="3"/>
  <c r="I151" i="3"/>
  <c r="J150" i="3"/>
  <c r="F150" i="3"/>
  <c r="H148" i="3"/>
  <c r="J146" i="3"/>
  <c r="F146" i="3"/>
  <c r="H144" i="3"/>
  <c r="I135" i="3"/>
  <c r="I228" i="3"/>
  <c r="J227" i="3"/>
  <c r="F227" i="3"/>
  <c r="G226" i="3"/>
  <c r="H225" i="3"/>
  <c r="I224" i="3"/>
  <c r="J223" i="3"/>
  <c r="F223" i="3"/>
  <c r="G222" i="3"/>
  <c r="H221" i="3"/>
  <c r="I220" i="3"/>
  <c r="J219" i="3"/>
  <c r="F219" i="3"/>
  <c r="G218" i="3"/>
  <c r="H217" i="3"/>
  <c r="I216" i="3"/>
  <c r="J215" i="3"/>
  <c r="F215" i="3"/>
  <c r="H213" i="3"/>
  <c r="I212" i="3"/>
  <c r="J211" i="3"/>
  <c r="F211" i="3"/>
  <c r="G210" i="3"/>
  <c r="H209" i="3"/>
  <c r="I208" i="3"/>
  <c r="J207" i="3"/>
  <c r="F207" i="3"/>
  <c r="G206" i="3"/>
  <c r="I204" i="3"/>
  <c r="J202" i="3"/>
  <c r="F202" i="3"/>
  <c r="G201" i="3"/>
  <c r="H200" i="3"/>
  <c r="I199" i="3"/>
  <c r="J198" i="3"/>
  <c r="F198" i="3"/>
  <c r="G197" i="3"/>
  <c r="H196" i="3"/>
  <c r="I195" i="3"/>
  <c r="J194" i="3"/>
  <c r="F194" i="3"/>
  <c r="H192" i="3"/>
  <c r="J190" i="3"/>
  <c r="F190" i="3"/>
  <c r="G189" i="3"/>
  <c r="H188" i="3"/>
  <c r="I187" i="3"/>
  <c r="G185" i="3"/>
  <c r="H183" i="3"/>
  <c r="G176" i="3"/>
  <c r="H175" i="3"/>
  <c r="I174" i="3"/>
  <c r="J173" i="3"/>
  <c r="F173" i="3"/>
  <c r="G172" i="3"/>
  <c r="H171" i="3"/>
  <c r="I170" i="3"/>
  <c r="J169" i="3"/>
  <c r="F169" i="3"/>
  <c r="H167" i="3"/>
  <c r="J165" i="3"/>
  <c r="F165" i="3"/>
  <c r="G164" i="3"/>
  <c r="H163" i="3"/>
  <c r="J157" i="3"/>
  <c r="F157" i="3"/>
  <c r="G156" i="3"/>
  <c r="H151" i="3"/>
  <c r="I150" i="3"/>
  <c r="G148" i="3"/>
  <c r="I146" i="3"/>
  <c r="G144" i="3"/>
  <c r="H135" i="3"/>
  <c r="H228" i="3"/>
  <c r="I227" i="3"/>
  <c r="J226" i="3"/>
  <c r="F226" i="3"/>
  <c r="G225" i="3"/>
  <c r="H224" i="3"/>
  <c r="I223" i="3"/>
  <c r="J222" i="3"/>
  <c r="F222" i="3"/>
  <c r="G221" i="3"/>
  <c r="H220" i="3"/>
  <c r="I219" i="3"/>
  <c r="J218" i="3"/>
  <c r="F218" i="3"/>
  <c r="G217" i="3"/>
  <c r="H216" i="3"/>
  <c r="I215" i="3"/>
  <c r="G213" i="3"/>
  <c r="H212" i="3"/>
  <c r="I211" i="3"/>
  <c r="J210" i="3"/>
  <c r="F210" i="3"/>
  <c r="G209" i="3"/>
  <c r="H208" i="3"/>
  <c r="I207" i="3"/>
  <c r="J206" i="3"/>
  <c r="F206" i="3"/>
  <c r="H204" i="3"/>
  <c r="I202" i="3"/>
  <c r="J201" i="3"/>
  <c r="F201" i="3"/>
  <c r="G200" i="3"/>
  <c r="H199" i="3"/>
  <c r="I198" i="3"/>
  <c r="J197" i="3"/>
  <c r="F197" i="3"/>
  <c r="G196" i="3"/>
  <c r="H195" i="3"/>
  <c r="I194" i="3"/>
  <c r="G192" i="3"/>
  <c r="I190" i="3"/>
  <c r="J189" i="3"/>
  <c r="F189" i="3"/>
  <c r="G188" i="3"/>
  <c r="H187" i="3"/>
  <c r="J185" i="3"/>
  <c r="F185" i="3"/>
  <c r="G183" i="3"/>
  <c r="J176" i="3"/>
  <c r="F176" i="3"/>
  <c r="G175" i="3"/>
  <c r="H174" i="3"/>
  <c r="I173" i="3"/>
  <c r="J172" i="3"/>
  <c r="F172" i="3"/>
  <c r="G171" i="3"/>
  <c r="H170" i="3"/>
  <c r="I169" i="3"/>
  <c r="G167" i="3"/>
  <c r="I165" i="3"/>
  <c r="J164" i="3"/>
  <c r="F164" i="3"/>
  <c r="G163" i="3"/>
  <c r="I157" i="3"/>
  <c r="J156" i="3"/>
  <c r="F156" i="3"/>
  <c r="G151" i="3"/>
  <c r="H150" i="3"/>
  <c r="J148" i="3"/>
  <c r="F148" i="3"/>
  <c r="H146" i="3"/>
  <c r="J144" i="3"/>
  <c r="F144" i="3"/>
  <c r="G135" i="3"/>
  <c r="L221" i="3"/>
  <c r="L213" i="3"/>
  <c r="L196" i="3"/>
  <c r="L188" i="3"/>
  <c r="L171" i="3"/>
  <c r="L163" i="3"/>
  <c r="K221" i="3"/>
  <c r="K213" i="3"/>
  <c r="K196" i="3"/>
  <c r="K188" i="3"/>
  <c r="K171" i="3"/>
  <c r="K163" i="3"/>
  <c r="L227" i="3"/>
  <c r="L219" i="3"/>
  <c r="L211" i="3"/>
  <c r="L202" i="3"/>
  <c r="L194" i="3"/>
  <c r="L169" i="3"/>
  <c r="L228" i="3"/>
  <c r="L220" i="3"/>
  <c r="L212" i="3"/>
  <c r="L204" i="3"/>
  <c r="L195" i="3"/>
  <c r="L187" i="3"/>
  <c r="L170" i="3"/>
  <c r="L146" i="3"/>
  <c r="K228" i="3"/>
  <c r="K220" i="3"/>
  <c r="K212" i="3"/>
  <c r="K204" i="3"/>
  <c r="K195" i="3"/>
  <c r="K187" i="3"/>
  <c r="K170" i="3"/>
  <c r="K146" i="3"/>
  <c r="L226" i="3"/>
  <c r="L218" i="3"/>
  <c r="L210" i="3"/>
  <c r="L201" i="3"/>
  <c r="L185" i="3"/>
  <c r="L176" i="3"/>
  <c r="L144" i="3"/>
  <c r="K226" i="3"/>
  <c r="K218" i="3"/>
  <c r="K210" i="3"/>
  <c r="K201" i="3"/>
  <c r="K185" i="3"/>
  <c r="K176" i="3"/>
  <c r="K144" i="3"/>
  <c r="K227" i="3"/>
  <c r="K219" i="3"/>
  <c r="K211" i="3"/>
  <c r="K202" i="3"/>
  <c r="K194" i="3"/>
  <c r="K169" i="3"/>
  <c r="L225" i="3"/>
  <c r="L217" i="3"/>
  <c r="L209" i="3"/>
  <c r="L200" i="3"/>
  <c r="L192" i="3"/>
  <c r="L183" i="3"/>
  <c r="L175" i="3"/>
  <c r="L167" i="3"/>
  <c r="L151" i="3"/>
  <c r="L135" i="3"/>
  <c r="K225" i="3"/>
  <c r="K217" i="3"/>
  <c r="K209" i="3"/>
  <c r="K200" i="3"/>
  <c r="K192" i="3"/>
  <c r="K183" i="3"/>
  <c r="K175" i="3"/>
  <c r="K167" i="3"/>
  <c r="K151" i="3"/>
  <c r="K135" i="3"/>
  <c r="L223" i="3"/>
  <c r="L215" i="3"/>
  <c r="L207" i="3"/>
  <c r="L198" i="3"/>
  <c r="L190" i="3"/>
  <c r="L173" i="3"/>
  <c r="L165" i="3"/>
  <c r="L157" i="3"/>
  <c r="L224" i="3"/>
  <c r="L216" i="3"/>
  <c r="L208" i="3"/>
  <c r="L199" i="3"/>
  <c r="L174" i="3"/>
  <c r="L150" i="3"/>
  <c r="K224" i="3"/>
  <c r="K216" i="3"/>
  <c r="K208" i="3"/>
  <c r="K199" i="3"/>
  <c r="K174" i="3"/>
  <c r="K150" i="3"/>
  <c r="L222" i="3"/>
  <c r="L206" i="3"/>
  <c r="L197" i="3"/>
  <c r="L189" i="3"/>
  <c r="L172" i="3"/>
  <c r="L164" i="3"/>
  <c r="L156" i="3"/>
  <c r="L148" i="3"/>
  <c r="K222" i="3"/>
  <c r="K206" i="3"/>
  <c r="K197" i="3"/>
  <c r="K189" i="3"/>
  <c r="K172" i="3"/>
  <c r="K164" i="3"/>
  <c r="K156" i="3"/>
  <c r="K148" i="3"/>
  <c r="K223" i="3"/>
  <c r="K215" i="3"/>
  <c r="K207" i="3"/>
  <c r="K198" i="3"/>
  <c r="K190" i="3"/>
  <c r="K173" i="3"/>
  <c r="K165" i="3"/>
  <c r="K157" i="3"/>
  <c r="T834" i="2"/>
  <c r="H28" i="8"/>
  <c r="V21" i="3"/>
  <c r="X22" i="3"/>
  <c r="P23" i="3"/>
  <c r="K24" i="3"/>
  <c r="R118" i="3"/>
  <c r="R117" i="3"/>
  <c r="R116" i="3"/>
  <c r="R115" i="3"/>
  <c r="R114" i="3"/>
  <c r="R113" i="3"/>
  <c r="R112" i="3"/>
  <c r="R111" i="3"/>
  <c r="R110" i="3"/>
  <c r="R109" i="3"/>
  <c r="R108" i="3"/>
  <c r="R107" i="3"/>
  <c r="R106" i="3"/>
  <c r="R105" i="3"/>
  <c r="R104" i="3"/>
  <c r="R103" i="3"/>
  <c r="R102" i="3"/>
  <c r="P117" i="3"/>
  <c r="K114" i="3"/>
  <c r="G111" i="3"/>
  <c r="V107" i="3"/>
  <c r="X104" i="3"/>
  <c r="T101" i="3"/>
  <c r="T100" i="3"/>
  <c r="T99" i="3"/>
  <c r="T98" i="3"/>
  <c r="P118" i="3"/>
  <c r="K115" i="3"/>
  <c r="G112" i="3"/>
  <c r="V108" i="3"/>
  <c r="X105" i="3"/>
  <c r="P102" i="3"/>
  <c r="K116" i="3"/>
  <c r="G113" i="3"/>
  <c r="V109" i="3"/>
  <c r="X106" i="3"/>
  <c r="P103" i="3"/>
  <c r="P101" i="3"/>
  <c r="X100" i="3"/>
  <c r="V99" i="3"/>
  <c r="G99" i="3"/>
  <c r="K98" i="3"/>
  <c r="V114" i="3"/>
  <c r="X111" i="3"/>
  <c r="P108" i="3"/>
  <c r="K105" i="3"/>
  <c r="G102" i="3"/>
  <c r="V96" i="3"/>
  <c r="G96" i="3"/>
  <c r="K95" i="3"/>
  <c r="P94" i="3"/>
  <c r="X93" i="3"/>
  <c r="V92" i="3"/>
  <c r="K91" i="3"/>
  <c r="P90" i="3"/>
  <c r="X89" i="3"/>
  <c r="V88" i="3"/>
  <c r="G88" i="3"/>
  <c r="K87" i="3"/>
  <c r="P86" i="3"/>
  <c r="X85" i="3"/>
  <c r="V84" i="3"/>
  <c r="G84" i="3"/>
  <c r="K83" i="3"/>
  <c r="P82" i="3"/>
  <c r="X81" i="3"/>
  <c r="R97" i="3"/>
  <c r="R96" i="3"/>
  <c r="R95" i="3"/>
  <c r="R94" i="3"/>
  <c r="R93" i="3"/>
  <c r="R92" i="3"/>
  <c r="R91" i="3"/>
  <c r="R90" i="3"/>
  <c r="R89" i="3"/>
  <c r="R88" i="3"/>
  <c r="R87" i="3"/>
  <c r="R86" i="3"/>
  <c r="R85" i="3"/>
  <c r="R84" i="3"/>
  <c r="R83" i="3"/>
  <c r="R82" i="3"/>
  <c r="R81" i="3"/>
  <c r="R80" i="3"/>
  <c r="R79" i="3"/>
  <c r="R78" i="3"/>
  <c r="R77" i="3"/>
  <c r="R76" i="3"/>
  <c r="R75" i="3"/>
  <c r="V80" i="3"/>
  <c r="K79" i="3"/>
  <c r="X77" i="3"/>
  <c r="G76" i="3"/>
  <c r="X74" i="3"/>
  <c r="V73" i="3"/>
  <c r="K72" i="3"/>
  <c r="P71" i="3"/>
  <c r="X70" i="3"/>
  <c r="V69" i="3"/>
  <c r="G69" i="3"/>
  <c r="K68" i="3"/>
  <c r="P67" i="3"/>
  <c r="X66" i="3"/>
  <c r="V65" i="3"/>
  <c r="G65" i="3"/>
  <c r="K64" i="3"/>
  <c r="P63" i="3"/>
  <c r="X62" i="3"/>
  <c r="V61" i="3"/>
  <c r="K75" i="3"/>
  <c r="P79" i="3"/>
  <c r="V77" i="3"/>
  <c r="K76" i="3"/>
  <c r="R74" i="3"/>
  <c r="R73" i="3"/>
  <c r="R72" i="3"/>
  <c r="R71" i="3"/>
  <c r="R70" i="3"/>
  <c r="R69" i="3"/>
  <c r="R68" i="3"/>
  <c r="R67" i="3"/>
  <c r="R66" i="3"/>
  <c r="R65" i="3"/>
  <c r="R64" i="3"/>
  <c r="R63" i="3"/>
  <c r="R62" i="3"/>
  <c r="R61" i="3"/>
  <c r="R60" i="3"/>
  <c r="R59" i="3"/>
  <c r="R58" i="3"/>
  <c r="R57" i="3"/>
  <c r="P59" i="3"/>
  <c r="V60" i="3"/>
  <c r="G58" i="3"/>
  <c r="K56" i="3"/>
  <c r="P55" i="3"/>
  <c r="X54" i="3"/>
  <c r="V53" i="3"/>
  <c r="G53" i="3"/>
  <c r="K52" i="3"/>
  <c r="P51" i="3"/>
  <c r="X50" i="3"/>
  <c r="V49" i="3"/>
  <c r="K48" i="3"/>
  <c r="P47" i="3"/>
  <c r="X46" i="3"/>
  <c r="V45" i="3"/>
  <c r="K44" i="3"/>
  <c r="P43" i="3"/>
  <c r="X42" i="3"/>
  <c r="V41" i="3"/>
  <c r="G41" i="3"/>
  <c r="P39" i="3"/>
  <c r="X38" i="3"/>
  <c r="V37" i="3"/>
  <c r="G37" i="3"/>
  <c r="K36" i="3"/>
  <c r="D28" i="8" a="1"/>
  <c r="D28" i="8" s="1"/>
  <c r="P18" i="3"/>
  <c r="G22" i="3"/>
  <c r="V22" i="3"/>
  <c r="X23" i="3"/>
  <c r="N118" i="3"/>
  <c r="N117" i="3"/>
  <c r="N116" i="3"/>
  <c r="N115" i="3"/>
  <c r="N114" i="3"/>
  <c r="N113" i="3"/>
  <c r="N112" i="3"/>
  <c r="N111" i="3"/>
  <c r="N110" i="3"/>
  <c r="N109" i="3"/>
  <c r="N108" i="3"/>
  <c r="N107" i="3"/>
  <c r="N106" i="3"/>
  <c r="N105" i="3"/>
  <c r="N104" i="3"/>
  <c r="N103" i="3"/>
  <c r="N102" i="3"/>
  <c r="X116" i="3"/>
  <c r="P113" i="3"/>
  <c r="K110" i="3"/>
  <c r="G107" i="3"/>
  <c r="V103" i="3"/>
  <c r="R101" i="3"/>
  <c r="R100" i="3"/>
  <c r="R99" i="3"/>
  <c r="R98" i="3"/>
  <c r="X117" i="3"/>
  <c r="P114" i="3"/>
  <c r="K111" i="3"/>
  <c r="G108" i="3"/>
  <c r="V104" i="3"/>
  <c r="X118" i="3"/>
  <c r="P115" i="3"/>
  <c r="K112" i="3"/>
  <c r="G109" i="3"/>
  <c r="V105" i="3"/>
  <c r="X102" i="3"/>
  <c r="P100" i="3"/>
  <c r="X99" i="3"/>
  <c r="V98" i="3"/>
  <c r="G98" i="3"/>
  <c r="K117" i="3"/>
  <c r="G114" i="3"/>
  <c r="V110" i="3"/>
  <c r="X107" i="3"/>
  <c r="P104" i="3"/>
  <c r="P97" i="3"/>
  <c r="X96" i="3"/>
  <c r="V95" i="3"/>
  <c r="G95" i="3"/>
  <c r="K94" i="3"/>
  <c r="P93" i="3"/>
  <c r="X92" i="3"/>
  <c r="V91" i="3"/>
  <c r="G91" i="3"/>
  <c r="K90" i="3"/>
  <c r="P89" i="3"/>
  <c r="X88" i="3"/>
  <c r="V87" i="3"/>
  <c r="G87" i="3"/>
  <c r="K86" i="3"/>
  <c r="P85" i="3"/>
  <c r="X84" i="3"/>
  <c r="V83" i="3"/>
  <c r="G83" i="3"/>
  <c r="K82" i="3"/>
  <c r="P81" i="3"/>
  <c r="N97" i="3"/>
  <c r="N96" i="3"/>
  <c r="N95" i="3"/>
  <c r="N94" i="3"/>
  <c r="N93" i="3"/>
  <c r="N92" i="3"/>
  <c r="N91" i="3"/>
  <c r="N90" i="3"/>
  <c r="N89" i="3"/>
  <c r="N88" i="3"/>
  <c r="N87" i="3"/>
  <c r="N86" i="3"/>
  <c r="N85" i="3"/>
  <c r="N84" i="3"/>
  <c r="N83" i="3"/>
  <c r="N82" i="3"/>
  <c r="N81" i="3"/>
  <c r="N80" i="3"/>
  <c r="N79" i="3"/>
  <c r="N78" i="3"/>
  <c r="N77" i="3"/>
  <c r="N76" i="3"/>
  <c r="N75" i="3"/>
  <c r="P80" i="3"/>
  <c r="V78" i="3"/>
  <c r="K77" i="3"/>
  <c r="X75" i="3"/>
  <c r="P74" i="3"/>
  <c r="X73" i="3"/>
  <c r="V72" i="3"/>
  <c r="G72" i="3"/>
  <c r="K71" i="3"/>
  <c r="P70" i="3"/>
  <c r="X69" i="3"/>
  <c r="V68" i="3"/>
  <c r="G68" i="3"/>
  <c r="K67" i="3"/>
  <c r="P66" i="3"/>
  <c r="X65" i="3"/>
  <c r="V64" i="3"/>
  <c r="K63" i="3"/>
  <c r="P62" i="3"/>
  <c r="X61" i="3"/>
  <c r="X80" i="3"/>
  <c r="G79" i="3"/>
  <c r="P77" i="3"/>
  <c r="V75" i="3"/>
  <c r="N74" i="3"/>
  <c r="N73" i="3"/>
  <c r="N72" i="3"/>
  <c r="N71" i="3"/>
  <c r="N70" i="3"/>
  <c r="N69" i="3"/>
  <c r="N68" i="3"/>
  <c r="N67" i="3"/>
  <c r="N66" i="3"/>
  <c r="N65" i="3"/>
  <c r="N64" i="3"/>
  <c r="N63" i="3"/>
  <c r="N62" i="3"/>
  <c r="N61" i="3"/>
  <c r="N60" i="3"/>
  <c r="N59" i="3"/>
  <c r="N58" i="3"/>
  <c r="N57" i="3"/>
  <c r="X58" i="3"/>
  <c r="G60" i="3"/>
  <c r="F28" i="8"/>
  <c r="X18" i="3"/>
  <c r="P21" i="3"/>
  <c r="K22" i="3"/>
  <c r="G23" i="3"/>
  <c r="V23" i="3"/>
  <c r="V118" i="3"/>
  <c r="I118" i="3"/>
  <c r="I117" i="3"/>
  <c r="I116" i="3"/>
  <c r="I115" i="3"/>
  <c r="I114" i="3"/>
  <c r="I113" i="3"/>
  <c r="I112" i="3"/>
  <c r="I111" i="3"/>
  <c r="I110" i="3"/>
  <c r="I109" i="3"/>
  <c r="I108" i="3"/>
  <c r="I107" i="3"/>
  <c r="I106" i="3"/>
  <c r="I105" i="3"/>
  <c r="I104" i="3"/>
  <c r="I103" i="3"/>
  <c r="I102" i="3"/>
  <c r="V115" i="3"/>
  <c r="X112" i="3"/>
  <c r="P109" i="3"/>
  <c r="K106" i="3"/>
  <c r="G103" i="3"/>
  <c r="N101" i="3"/>
  <c r="N100" i="3"/>
  <c r="N99" i="3"/>
  <c r="N98" i="3"/>
  <c r="V116" i="3"/>
  <c r="X113" i="3"/>
  <c r="P110" i="3"/>
  <c r="K107" i="3"/>
  <c r="G104" i="3"/>
  <c r="V117" i="3"/>
  <c r="X114" i="3"/>
  <c r="P111" i="3"/>
  <c r="K108" i="3"/>
  <c r="G105" i="3"/>
  <c r="V101" i="3"/>
  <c r="K100" i="3"/>
  <c r="P99" i="3"/>
  <c r="X98" i="3"/>
  <c r="V97" i="3"/>
  <c r="P116" i="3"/>
  <c r="K113" i="3"/>
  <c r="G110" i="3"/>
  <c r="V106" i="3"/>
  <c r="X103" i="3"/>
  <c r="K97" i="3"/>
  <c r="P96" i="3"/>
  <c r="X95" i="3"/>
  <c r="V94" i="3"/>
  <c r="G94" i="3"/>
  <c r="K93" i="3"/>
  <c r="P92" i="3"/>
  <c r="X91" i="3"/>
  <c r="V90" i="3"/>
  <c r="G90" i="3"/>
  <c r="K89" i="3"/>
  <c r="P88" i="3"/>
  <c r="X87" i="3"/>
  <c r="V86" i="3"/>
  <c r="G86" i="3"/>
  <c r="K85" i="3"/>
  <c r="P84" i="3"/>
  <c r="X83" i="3"/>
  <c r="V82" i="3"/>
  <c r="G82" i="3"/>
  <c r="K81" i="3"/>
  <c r="I97" i="3"/>
  <c r="I96" i="3"/>
  <c r="I95" i="3"/>
  <c r="I94" i="3"/>
  <c r="I93" i="3"/>
  <c r="I91" i="3"/>
  <c r="I90" i="3"/>
  <c r="I89" i="3"/>
  <c r="I88" i="3"/>
  <c r="I87" i="3"/>
  <c r="I86" i="3"/>
  <c r="I85" i="3"/>
  <c r="I84" i="3"/>
  <c r="I83" i="3"/>
  <c r="I82" i="3"/>
  <c r="I81" i="3"/>
  <c r="I79" i="3"/>
  <c r="I78" i="3"/>
  <c r="I77" i="3"/>
  <c r="I76" i="3"/>
  <c r="I75" i="3"/>
  <c r="P78" i="3"/>
  <c r="V76" i="3"/>
  <c r="G75" i="3"/>
  <c r="K74" i="3"/>
  <c r="P73" i="3"/>
  <c r="X72" i="3"/>
  <c r="V71" i="3"/>
  <c r="G71" i="3"/>
  <c r="K70" i="3"/>
  <c r="P69" i="3"/>
  <c r="X68" i="3"/>
  <c r="V67" i="3"/>
  <c r="G67" i="3"/>
  <c r="K66" i="3"/>
  <c r="P65" i="3"/>
  <c r="X64" i="3"/>
  <c r="V63" i="3"/>
  <c r="G63" i="3"/>
  <c r="K62" i="3"/>
  <c r="P61" i="3"/>
  <c r="K80" i="3"/>
  <c r="X78" i="3"/>
  <c r="G77" i="3"/>
  <c r="P75" i="3"/>
  <c r="I74" i="3"/>
  <c r="I72" i="3"/>
  <c r="I71" i="3"/>
  <c r="I70" i="3"/>
  <c r="I69" i="3"/>
  <c r="I68" i="3"/>
  <c r="I67" i="3"/>
  <c r="I66" i="3"/>
  <c r="I65" i="3"/>
  <c r="I63" i="3"/>
  <c r="I62" i="3"/>
  <c r="I61" i="3"/>
  <c r="I60" i="3"/>
  <c r="I59" i="3"/>
  <c r="I58" i="3"/>
  <c r="G61" i="3"/>
  <c r="G57" i="3"/>
  <c r="K59" i="3"/>
  <c r="K57" i="3"/>
  <c r="V55" i="3"/>
  <c r="K54" i="3"/>
  <c r="P53" i="3"/>
  <c r="X52" i="3"/>
  <c r="V51" i="3"/>
  <c r="G51" i="3"/>
  <c r="K50" i="3"/>
  <c r="P49" i="3"/>
  <c r="X48" i="3"/>
  <c r="V47" i="3"/>
  <c r="G47" i="3"/>
  <c r="K46" i="3"/>
  <c r="P45" i="3"/>
  <c r="X44" i="3"/>
  <c r="V43" i="3"/>
  <c r="G43" i="3"/>
  <c r="P41" i="3"/>
  <c r="X40" i="3"/>
  <c r="V39" i="3"/>
  <c r="K38" i="3"/>
  <c r="P37" i="3"/>
  <c r="X36" i="3"/>
  <c r="V18" i="3"/>
  <c r="X21" i="3"/>
  <c r="P22" i="3"/>
  <c r="K23" i="3"/>
  <c r="G24" i="3"/>
  <c r="T118" i="3"/>
  <c r="T117" i="3"/>
  <c r="T116" i="3"/>
  <c r="T115" i="3"/>
  <c r="T114" i="3"/>
  <c r="T113" i="3"/>
  <c r="T112" i="3"/>
  <c r="T111" i="3"/>
  <c r="T110" i="3"/>
  <c r="T109" i="3"/>
  <c r="T108" i="3"/>
  <c r="T107" i="3"/>
  <c r="T106" i="3"/>
  <c r="T105" i="3"/>
  <c r="T104" i="3"/>
  <c r="T103" i="3"/>
  <c r="T102" i="3"/>
  <c r="K118" i="3"/>
  <c r="G115" i="3"/>
  <c r="V111" i="3"/>
  <c r="X108" i="3"/>
  <c r="P105" i="3"/>
  <c r="K102" i="3"/>
  <c r="I101" i="3"/>
  <c r="I100" i="3"/>
  <c r="I99" i="3"/>
  <c r="I98" i="3"/>
  <c r="G116" i="3"/>
  <c r="V112" i="3"/>
  <c r="X109" i="3"/>
  <c r="P106" i="3"/>
  <c r="K103" i="3"/>
  <c r="G117" i="3"/>
  <c r="V113" i="3"/>
  <c r="X110" i="3"/>
  <c r="P107" i="3"/>
  <c r="K104" i="3"/>
  <c r="X101" i="3"/>
  <c r="V100" i="3"/>
  <c r="G100" i="3"/>
  <c r="K99" i="3"/>
  <c r="P98" i="3"/>
  <c r="X97" i="3"/>
  <c r="X115" i="3"/>
  <c r="P112" i="3"/>
  <c r="K109" i="3"/>
  <c r="G106" i="3"/>
  <c r="V102" i="3"/>
  <c r="G97" i="3"/>
  <c r="K96" i="3"/>
  <c r="P95" i="3"/>
  <c r="X94" i="3"/>
  <c r="V93" i="3"/>
  <c r="G93" i="3"/>
  <c r="P91" i="3"/>
  <c r="X90" i="3"/>
  <c r="V89" i="3"/>
  <c r="G89" i="3"/>
  <c r="K88" i="3"/>
  <c r="P87" i="3"/>
  <c r="X86" i="3"/>
  <c r="V85" i="3"/>
  <c r="G85" i="3"/>
  <c r="K84" i="3"/>
  <c r="P83" i="3"/>
  <c r="X82" i="3"/>
  <c r="V81" i="3"/>
  <c r="G81" i="3"/>
  <c r="T96" i="3"/>
  <c r="T95" i="3"/>
  <c r="T94" i="3"/>
  <c r="T93" i="3"/>
  <c r="T92" i="3"/>
  <c r="T91" i="3"/>
  <c r="T90" i="3"/>
  <c r="T89" i="3"/>
  <c r="T88" i="3"/>
  <c r="T87" i="3"/>
  <c r="T86" i="3"/>
  <c r="T85" i="3"/>
  <c r="T84" i="3"/>
  <c r="T83" i="3"/>
  <c r="T82" i="3"/>
  <c r="T81" i="3"/>
  <c r="T80" i="3"/>
  <c r="T79" i="3"/>
  <c r="T78" i="3"/>
  <c r="T77" i="3"/>
  <c r="T76" i="3"/>
  <c r="T75" i="3"/>
  <c r="T97" i="3"/>
  <c r="X79" i="3"/>
  <c r="G78" i="3"/>
  <c r="P76" i="3"/>
  <c r="V74" i="3"/>
  <c r="G74" i="3"/>
  <c r="K73" i="3"/>
  <c r="P72" i="3"/>
  <c r="X71" i="3"/>
  <c r="V70" i="3"/>
  <c r="G70" i="3"/>
  <c r="K69" i="3"/>
  <c r="P68" i="3"/>
  <c r="X67" i="3"/>
  <c r="V66" i="3"/>
  <c r="G66" i="3"/>
  <c r="K65" i="3"/>
  <c r="P64" i="3"/>
  <c r="X63" i="3"/>
  <c r="V62" i="3"/>
  <c r="G62" i="3"/>
  <c r="K61" i="3"/>
  <c r="V79" i="3"/>
  <c r="K78" i="3"/>
  <c r="X76" i="3"/>
  <c r="T74" i="3"/>
  <c r="T73" i="3"/>
  <c r="T72" i="3"/>
  <c r="T71" i="3"/>
  <c r="T70" i="3"/>
  <c r="T69" i="3"/>
  <c r="T68" i="3"/>
  <c r="T67" i="3"/>
  <c r="T66" i="3"/>
  <c r="T65" i="3"/>
  <c r="T64" i="3"/>
  <c r="T63" i="3"/>
  <c r="T62" i="3"/>
  <c r="T61" i="3"/>
  <c r="T60" i="3"/>
  <c r="T59" i="3"/>
  <c r="T58" i="3"/>
  <c r="T57" i="3"/>
  <c r="K60" i="3"/>
  <c r="T56" i="3"/>
  <c r="P58" i="3"/>
  <c r="P56" i="3"/>
  <c r="X55" i="3"/>
  <c r="V54" i="3"/>
  <c r="G54" i="3"/>
  <c r="K53" i="3"/>
  <c r="P52" i="3"/>
  <c r="X51" i="3"/>
  <c r="V50" i="3"/>
  <c r="G50" i="3"/>
  <c r="K49" i="3"/>
  <c r="P48" i="3"/>
  <c r="X47" i="3"/>
  <c r="V46" i="3"/>
  <c r="G46" i="3"/>
  <c r="K45" i="3"/>
  <c r="P44" i="3"/>
  <c r="X43" i="3"/>
  <c r="V42" i="3"/>
  <c r="G42" i="3"/>
  <c r="K41" i="3"/>
  <c r="P40" i="3"/>
  <c r="X39" i="3"/>
  <c r="V38" i="3"/>
  <c r="G38" i="3"/>
  <c r="P54" i="3"/>
  <c r="K51" i="3"/>
  <c r="G48" i="3"/>
  <c r="V44" i="3"/>
  <c r="X41" i="3"/>
  <c r="P38" i="3"/>
  <c r="P36" i="3"/>
  <c r="P35" i="3"/>
  <c r="X34" i="3"/>
  <c r="V33" i="3"/>
  <c r="G33" i="3"/>
  <c r="K32" i="3"/>
  <c r="P31" i="3"/>
  <c r="X30" i="3"/>
  <c r="V29" i="3"/>
  <c r="G29" i="3"/>
  <c r="K28" i="3"/>
  <c r="P27" i="3"/>
  <c r="X26" i="3"/>
  <c r="V25" i="3"/>
  <c r="G25" i="3"/>
  <c r="X60" i="3"/>
  <c r="X56" i="3"/>
  <c r="K58" i="3"/>
  <c r="R56" i="3"/>
  <c r="R55" i="3"/>
  <c r="R54" i="3"/>
  <c r="R53" i="3"/>
  <c r="R52" i="3"/>
  <c r="R51" i="3"/>
  <c r="R50" i="3"/>
  <c r="R49" i="3"/>
  <c r="R48" i="3"/>
  <c r="R47" i="3"/>
  <c r="R46" i="3"/>
  <c r="R45" i="3"/>
  <c r="R44" i="3"/>
  <c r="R43" i="3"/>
  <c r="R42" i="3"/>
  <c r="R41" i="3"/>
  <c r="R40" i="3"/>
  <c r="R39" i="3"/>
  <c r="R38" i="3"/>
  <c r="R37" i="3"/>
  <c r="R36" i="3"/>
  <c r="R35" i="3"/>
  <c r="R34" i="3"/>
  <c r="R33" i="3"/>
  <c r="R32" i="3"/>
  <c r="R31" i="3"/>
  <c r="R30" i="3"/>
  <c r="R29" i="3"/>
  <c r="R28" i="3"/>
  <c r="R27" i="3"/>
  <c r="R26" i="3"/>
  <c r="R25" i="3"/>
  <c r="R24" i="3"/>
  <c r="R18" i="3"/>
  <c r="R21" i="3"/>
  <c r="R22" i="3"/>
  <c r="R23" i="3"/>
  <c r="X57" i="3"/>
  <c r="X53" i="3"/>
  <c r="P50" i="3"/>
  <c r="K47" i="3"/>
  <c r="G44" i="3"/>
  <c r="V40" i="3"/>
  <c r="X37" i="3"/>
  <c r="G36" i="3"/>
  <c r="K35" i="3"/>
  <c r="P34" i="3"/>
  <c r="X33" i="3"/>
  <c r="V32" i="3"/>
  <c r="G32" i="3"/>
  <c r="K31" i="3"/>
  <c r="P30" i="3"/>
  <c r="X29" i="3"/>
  <c r="V28" i="3"/>
  <c r="G28" i="3"/>
  <c r="K27" i="3"/>
  <c r="P26" i="3"/>
  <c r="X25" i="3"/>
  <c r="V24" i="3"/>
  <c r="V59" i="3"/>
  <c r="P60" i="3"/>
  <c r="V57" i="3"/>
  <c r="N56" i="3"/>
  <c r="N55" i="3"/>
  <c r="N54" i="3"/>
  <c r="N53" i="3"/>
  <c r="N52" i="3"/>
  <c r="N51" i="3"/>
  <c r="N50" i="3"/>
  <c r="N49" i="3"/>
  <c r="N48" i="3"/>
  <c r="N47" i="3"/>
  <c r="N46" i="3"/>
  <c r="N45" i="3"/>
  <c r="N44" i="3"/>
  <c r="N43" i="3"/>
  <c r="N42" i="3"/>
  <c r="N41" i="3"/>
  <c r="N40" i="3"/>
  <c r="N39" i="3"/>
  <c r="N38" i="3"/>
  <c r="N37" i="3"/>
  <c r="N36" i="3"/>
  <c r="N35" i="3"/>
  <c r="N34" i="3"/>
  <c r="N33" i="3"/>
  <c r="N32" i="3"/>
  <c r="N31" i="3"/>
  <c r="N30" i="3"/>
  <c r="N29" i="3"/>
  <c r="N28" i="3"/>
  <c r="N27" i="3"/>
  <c r="N26" i="3"/>
  <c r="N25" i="3"/>
  <c r="N24" i="3"/>
  <c r="T18" i="3"/>
  <c r="T21" i="3"/>
  <c r="T22" i="3"/>
  <c r="T23" i="3"/>
  <c r="G56" i="3"/>
  <c r="V52" i="3"/>
  <c r="X49" i="3"/>
  <c r="P46" i="3"/>
  <c r="K43" i="3"/>
  <c r="G40" i="3"/>
  <c r="K37" i="3"/>
  <c r="V35" i="3"/>
  <c r="G35" i="3"/>
  <c r="K34" i="3"/>
  <c r="P33" i="3"/>
  <c r="X32" i="3"/>
  <c r="V31" i="3"/>
  <c r="G31" i="3"/>
  <c r="K30" i="3"/>
  <c r="P29" i="3"/>
  <c r="X28" i="3"/>
  <c r="V27" i="3"/>
  <c r="G27" i="3"/>
  <c r="K26" i="3"/>
  <c r="P25" i="3"/>
  <c r="X24" i="3"/>
  <c r="G59" i="3"/>
  <c r="X59" i="3"/>
  <c r="P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18" i="3"/>
  <c r="I21" i="3"/>
  <c r="I22" i="3"/>
  <c r="I23" i="3"/>
  <c r="I24" i="3"/>
  <c r="K55" i="3"/>
  <c r="G52" i="3"/>
  <c r="V48" i="3"/>
  <c r="X45" i="3"/>
  <c r="P42" i="3"/>
  <c r="K39" i="3"/>
  <c r="V36" i="3"/>
  <c r="X35" i="3"/>
  <c r="V34" i="3"/>
  <c r="G34" i="3"/>
  <c r="K33" i="3"/>
  <c r="P32" i="3"/>
  <c r="X31" i="3"/>
  <c r="V30" i="3"/>
  <c r="G30" i="3"/>
  <c r="K29" i="3"/>
  <c r="P28" i="3"/>
  <c r="X27" i="3"/>
  <c r="V26" i="3"/>
  <c r="G26" i="3"/>
  <c r="K25" i="3"/>
  <c r="P24" i="3"/>
  <c r="I57" i="3"/>
  <c r="V58" i="3"/>
  <c r="V56" i="3"/>
  <c r="T55" i="3"/>
  <c r="T54" i="3"/>
  <c r="T53" i="3"/>
  <c r="T52" i="3"/>
  <c r="T51" i="3"/>
  <c r="T50" i="3"/>
  <c r="T49" i="3"/>
  <c r="T48" i="3"/>
  <c r="T47" i="3"/>
  <c r="T46" i="3"/>
  <c r="T45" i="3"/>
  <c r="T44" i="3"/>
  <c r="T43" i="3"/>
  <c r="T42" i="3"/>
  <c r="T41" i="3"/>
  <c r="T40" i="3"/>
  <c r="T39" i="3"/>
  <c r="T38" i="3"/>
  <c r="T37" i="3"/>
  <c r="T36" i="3"/>
  <c r="T35" i="3"/>
  <c r="T34" i="3"/>
  <c r="T33" i="3"/>
  <c r="T32" i="3"/>
  <c r="T31" i="3"/>
  <c r="T30" i="3"/>
  <c r="T29" i="3"/>
  <c r="T28" i="3"/>
  <c r="T27" i="3"/>
  <c r="T26" i="3"/>
  <c r="T25" i="3"/>
  <c r="T24" i="3"/>
  <c r="N18" i="3"/>
  <c r="N21" i="3"/>
  <c r="N22" i="3"/>
  <c r="N23" i="3"/>
  <c r="U118" i="3"/>
  <c r="E118" i="3"/>
  <c r="E117" i="3"/>
  <c r="E116" i="3"/>
  <c r="E115" i="3"/>
  <c r="E114" i="3"/>
  <c r="E113" i="3"/>
  <c r="E112" i="3"/>
  <c r="E111" i="3"/>
  <c r="E110" i="3"/>
  <c r="E109" i="3"/>
  <c r="E108" i="3"/>
  <c r="E107" i="3"/>
  <c r="E106" i="3"/>
  <c r="E105" i="3"/>
  <c r="E104" i="3"/>
  <c r="E103" i="3"/>
  <c r="E102" i="3"/>
  <c r="W118" i="3"/>
  <c r="Q118" i="3"/>
  <c r="F118" i="3"/>
  <c r="Y117" i="3"/>
  <c r="J117" i="3"/>
  <c r="W116" i="3"/>
  <c r="O116" i="3"/>
  <c r="H116" i="3"/>
  <c r="S115" i="3"/>
  <c r="L115" i="3"/>
  <c r="U114" i="3"/>
  <c r="Q114" i="3"/>
  <c r="F114" i="3"/>
  <c r="Y113" i="3"/>
  <c r="J113" i="3"/>
  <c r="W112" i="3"/>
  <c r="O112" i="3"/>
  <c r="H112" i="3"/>
  <c r="S111" i="3"/>
  <c r="L111" i="3"/>
  <c r="U110" i="3"/>
  <c r="Q110" i="3"/>
  <c r="F110" i="3"/>
  <c r="Y109" i="3"/>
  <c r="J109" i="3"/>
  <c r="W108" i="3"/>
  <c r="O108" i="3"/>
  <c r="H108" i="3"/>
  <c r="S107" i="3"/>
  <c r="L107" i="3"/>
  <c r="U106" i="3"/>
  <c r="Q106" i="3"/>
  <c r="F106" i="3"/>
  <c r="Y105" i="3"/>
  <c r="J105" i="3"/>
  <c r="W104" i="3"/>
  <c r="O104" i="3"/>
  <c r="H104" i="3"/>
  <c r="S103" i="3"/>
  <c r="L103" i="3"/>
  <c r="U102" i="3"/>
  <c r="Q102" i="3"/>
  <c r="F102" i="3"/>
  <c r="E101" i="3"/>
  <c r="E100" i="3"/>
  <c r="E99" i="3"/>
  <c r="Y118" i="3"/>
  <c r="J118" i="3"/>
  <c r="W117" i="3"/>
  <c r="O117" i="3"/>
  <c r="H117" i="3"/>
  <c r="S116" i="3"/>
  <c r="L116" i="3"/>
  <c r="U115" i="3"/>
  <c r="Q115" i="3"/>
  <c r="F115" i="3"/>
  <c r="Y114" i="3"/>
  <c r="J114" i="3"/>
  <c r="W113" i="3"/>
  <c r="O113" i="3"/>
  <c r="H113" i="3"/>
  <c r="S112" i="3"/>
  <c r="L112" i="3"/>
  <c r="U111" i="3"/>
  <c r="Q111" i="3"/>
  <c r="F111" i="3"/>
  <c r="Y110" i="3"/>
  <c r="J110" i="3"/>
  <c r="W109" i="3"/>
  <c r="O109" i="3"/>
  <c r="H109" i="3"/>
  <c r="S108" i="3"/>
  <c r="L108" i="3"/>
  <c r="U107" i="3"/>
  <c r="Q107" i="3"/>
  <c r="F107" i="3"/>
  <c r="Y106" i="3"/>
  <c r="J106" i="3"/>
  <c r="W105" i="3"/>
  <c r="O105" i="3"/>
  <c r="H105" i="3"/>
  <c r="S104" i="3"/>
  <c r="L104" i="3"/>
  <c r="U103" i="3"/>
  <c r="Q103" i="3"/>
  <c r="F103" i="3"/>
  <c r="Y102" i="3"/>
  <c r="J102" i="3"/>
  <c r="W101" i="3"/>
  <c r="Y101" i="3"/>
  <c r="Q101" i="3"/>
  <c r="L101" i="3"/>
  <c r="H101" i="3"/>
  <c r="W100" i="3"/>
  <c r="Y100" i="3"/>
  <c r="Q100" i="3"/>
  <c r="L100" i="3"/>
  <c r="H100" i="3"/>
  <c r="W99" i="3"/>
  <c r="Y99" i="3"/>
  <c r="Q99" i="3"/>
  <c r="L99" i="3"/>
  <c r="H99" i="3"/>
  <c r="W98" i="3"/>
  <c r="Y98" i="3"/>
  <c r="Q98" i="3"/>
  <c r="L98" i="3"/>
  <c r="O118" i="3"/>
  <c r="H118" i="3"/>
  <c r="S117" i="3"/>
  <c r="L117" i="3"/>
  <c r="U116" i="3"/>
  <c r="Q116" i="3"/>
  <c r="F116" i="3"/>
  <c r="Y115" i="3"/>
  <c r="J115" i="3"/>
  <c r="W114" i="3"/>
  <c r="O114" i="3"/>
  <c r="H114" i="3"/>
  <c r="S113" i="3"/>
  <c r="L113" i="3"/>
  <c r="U112" i="3"/>
  <c r="Q112" i="3"/>
  <c r="F112" i="3"/>
  <c r="Y111" i="3"/>
  <c r="J111" i="3"/>
  <c r="W110" i="3"/>
  <c r="O110" i="3"/>
  <c r="H110" i="3"/>
  <c r="S109" i="3"/>
  <c r="L109" i="3"/>
  <c r="U108" i="3"/>
  <c r="Q108" i="3"/>
  <c r="F108" i="3"/>
  <c r="Y107" i="3"/>
  <c r="J107" i="3"/>
  <c r="W106" i="3"/>
  <c r="O106" i="3"/>
  <c r="H106" i="3"/>
  <c r="S105" i="3"/>
  <c r="L105" i="3"/>
  <c r="U104" i="3"/>
  <c r="Q104" i="3"/>
  <c r="F104" i="3"/>
  <c r="Y103" i="3"/>
  <c r="J103" i="3"/>
  <c r="W102" i="3"/>
  <c r="O102" i="3"/>
  <c r="H102" i="3"/>
  <c r="S118" i="3"/>
  <c r="L118" i="3"/>
  <c r="U117" i="3"/>
  <c r="Q117" i="3"/>
  <c r="F117" i="3"/>
  <c r="Y116" i="3"/>
  <c r="J116" i="3"/>
  <c r="W115" i="3"/>
  <c r="O115" i="3"/>
  <c r="H115" i="3"/>
  <c r="S114" i="3"/>
  <c r="L114" i="3"/>
  <c r="U113" i="3"/>
  <c r="Q113" i="3"/>
  <c r="F113" i="3"/>
  <c r="Y112" i="3"/>
  <c r="J112" i="3"/>
  <c r="W111" i="3"/>
  <c r="O111" i="3"/>
  <c r="H111" i="3"/>
  <c r="S110" i="3"/>
  <c r="L110" i="3"/>
  <c r="U109" i="3"/>
  <c r="Q109" i="3"/>
  <c r="F109" i="3"/>
  <c r="Y108" i="3"/>
  <c r="J108" i="3"/>
  <c r="W107" i="3"/>
  <c r="O107" i="3"/>
  <c r="H107" i="3"/>
  <c r="S106" i="3"/>
  <c r="L106" i="3"/>
  <c r="U105" i="3"/>
  <c r="Q105" i="3"/>
  <c r="F105" i="3"/>
  <c r="Y104" i="3"/>
  <c r="J104" i="3"/>
  <c r="W103" i="3"/>
  <c r="O103" i="3"/>
  <c r="H103" i="3"/>
  <c r="S102" i="3"/>
  <c r="L102" i="3"/>
  <c r="U101" i="3"/>
  <c r="S101" i="3"/>
  <c r="O101" i="3"/>
  <c r="J101" i="3"/>
  <c r="F101" i="3"/>
  <c r="U100" i="3"/>
  <c r="S100" i="3"/>
  <c r="O100" i="3"/>
  <c r="J100" i="3"/>
  <c r="F100" i="3"/>
  <c r="U99" i="3"/>
  <c r="S99" i="3"/>
  <c r="O99" i="3"/>
  <c r="J99" i="3"/>
  <c r="F99" i="3"/>
  <c r="U98" i="3"/>
  <c r="S98" i="3"/>
  <c r="O98" i="3"/>
  <c r="J98" i="3"/>
  <c r="F98" i="3"/>
  <c r="U97" i="3"/>
  <c r="H98" i="3"/>
  <c r="Y97" i="3"/>
  <c r="E98" i="3"/>
  <c r="S97" i="3"/>
  <c r="O97" i="3"/>
  <c r="J97" i="3"/>
  <c r="F97" i="3"/>
  <c r="U96" i="3"/>
  <c r="S96" i="3"/>
  <c r="O96" i="3"/>
  <c r="J96" i="3"/>
  <c r="F96" i="3"/>
  <c r="U95" i="3"/>
  <c r="S95" i="3"/>
  <c r="O95" i="3"/>
  <c r="J95" i="3"/>
  <c r="F95" i="3"/>
  <c r="U94" i="3"/>
  <c r="S94" i="3"/>
  <c r="O94" i="3"/>
  <c r="J94" i="3"/>
  <c r="F94" i="3"/>
  <c r="U93" i="3"/>
  <c r="S93" i="3"/>
  <c r="O93" i="3"/>
  <c r="J93" i="3"/>
  <c r="F93" i="3"/>
  <c r="U92" i="3"/>
  <c r="S92" i="3"/>
  <c r="O92" i="3"/>
  <c r="J92" i="3"/>
  <c r="F92" i="3"/>
  <c r="U91" i="3"/>
  <c r="S91" i="3"/>
  <c r="O91" i="3"/>
  <c r="J91" i="3"/>
  <c r="F91" i="3"/>
  <c r="U90" i="3"/>
  <c r="S90" i="3"/>
  <c r="O90" i="3"/>
  <c r="J90" i="3"/>
  <c r="F90" i="3"/>
  <c r="U89" i="3"/>
  <c r="S89" i="3"/>
  <c r="O89" i="3"/>
  <c r="J89" i="3"/>
  <c r="F89" i="3"/>
  <c r="U88" i="3"/>
  <c r="S88" i="3"/>
  <c r="O88" i="3"/>
  <c r="J88" i="3"/>
  <c r="F88" i="3"/>
  <c r="U87" i="3"/>
  <c r="S87" i="3"/>
  <c r="O87" i="3"/>
  <c r="J87" i="3"/>
  <c r="F87" i="3"/>
  <c r="U86" i="3"/>
  <c r="S86" i="3"/>
  <c r="O86" i="3"/>
  <c r="J86" i="3"/>
  <c r="F86" i="3"/>
  <c r="U85" i="3"/>
  <c r="S85" i="3"/>
  <c r="O85" i="3"/>
  <c r="J85" i="3"/>
  <c r="F85" i="3"/>
  <c r="U84" i="3"/>
  <c r="S84" i="3"/>
  <c r="O84" i="3"/>
  <c r="J84" i="3"/>
  <c r="F84" i="3"/>
  <c r="U83" i="3"/>
  <c r="S83" i="3"/>
  <c r="O83" i="3"/>
  <c r="J83" i="3"/>
  <c r="F83" i="3"/>
  <c r="U82" i="3"/>
  <c r="S82" i="3"/>
  <c r="O82" i="3"/>
  <c r="J82" i="3"/>
  <c r="F82" i="3"/>
  <c r="U81" i="3"/>
  <c r="S81" i="3"/>
  <c r="O81" i="3"/>
  <c r="J81" i="3"/>
  <c r="F81" i="3"/>
  <c r="W97" i="3"/>
  <c r="E97" i="3"/>
  <c r="E96" i="3"/>
  <c r="E95" i="3"/>
  <c r="E94" i="3"/>
  <c r="E93" i="3"/>
  <c r="E92" i="3"/>
  <c r="E91" i="3"/>
  <c r="E90" i="3"/>
  <c r="E89" i="3"/>
  <c r="E88" i="3"/>
  <c r="E87" i="3"/>
  <c r="E86" i="3"/>
  <c r="E85" i="3"/>
  <c r="E84" i="3"/>
  <c r="E83" i="3"/>
  <c r="E82" i="3"/>
  <c r="E81" i="3"/>
  <c r="E80" i="3"/>
  <c r="E79" i="3"/>
  <c r="E78" i="3"/>
  <c r="E77" i="3"/>
  <c r="E76" i="3"/>
  <c r="Q97" i="3"/>
  <c r="L97" i="3"/>
  <c r="H97" i="3"/>
  <c r="W96" i="3"/>
  <c r="Y96" i="3"/>
  <c r="Q96" i="3"/>
  <c r="L96" i="3"/>
  <c r="H96" i="3"/>
  <c r="W95" i="3"/>
  <c r="Y95" i="3"/>
  <c r="Q95" i="3"/>
  <c r="L95" i="3"/>
  <c r="H95" i="3"/>
  <c r="W94" i="3"/>
  <c r="Y94" i="3"/>
  <c r="Q94" i="3"/>
  <c r="L94" i="3"/>
  <c r="H94" i="3"/>
  <c r="W93" i="3"/>
  <c r="Y93" i="3"/>
  <c r="Q93" i="3"/>
  <c r="L93" i="3"/>
  <c r="H93" i="3"/>
  <c r="W92" i="3"/>
  <c r="Y92" i="3"/>
  <c r="Q92" i="3"/>
  <c r="L92" i="3"/>
  <c r="H92" i="3"/>
  <c r="W91" i="3"/>
  <c r="Y91" i="3"/>
  <c r="Q91" i="3"/>
  <c r="L91" i="3"/>
  <c r="H91" i="3"/>
  <c r="W90" i="3"/>
  <c r="Y90" i="3"/>
  <c r="Q90" i="3"/>
  <c r="L90" i="3"/>
  <c r="H90" i="3"/>
  <c r="W89" i="3"/>
  <c r="Y89" i="3"/>
  <c r="Q89" i="3"/>
  <c r="L89" i="3"/>
  <c r="H89" i="3"/>
  <c r="W88" i="3"/>
  <c r="Y88" i="3"/>
  <c r="Q88" i="3"/>
  <c r="L88" i="3"/>
  <c r="H88" i="3"/>
  <c r="W87" i="3"/>
  <c r="Y87" i="3"/>
  <c r="Q87" i="3"/>
  <c r="L87" i="3"/>
  <c r="H87" i="3"/>
  <c r="W86" i="3"/>
  <c r="Y86" i="3"/>
  <c r="Q86" i="3"/>
  <c r="L86" i="3"/>
  <c r="H86" i="3"/>
  <c r="W85" i="3"/>
  <c r="Y85" i="3"/>
  <c r="Q85" i="3"/>
  <c r="L85" i="3"/>
  <c r="H85" i="3"/>
  <c r="W84" i="3"/>
  <c r="Y84" i="3"/>
  <c r="Q84" i="3"/>
  <c r="L84" i="3"/>
  <c r="H84" i="3"/>
  <c r="W83" i="3"/>
  <c r="Y83" i="3"/>
  <c r="Q83" i="3"/>
  <c r="L83" i="3"/>
  <c r="H83" i="3"/>
  <c r="W82" i="3"/>
  <c r="Y82" i="3"/>
  <c r="Q82" i="3"/>
  <c r="L82" i="3"/>
  <c r="H82" i="3"/>
  <c r="W81" i="3"/>
  <c r="Y81" i="3"/>
  <c r="Q81" i="3"/>
  <c r="L81" i="3"/>
  <c r="H81" i="3"/>
  <c r="W80" i="3"/>
  <c r="Y80" i="3"/>
  <c r="Q80" i="3"/>
  <c r="L80" i="3"/>
  <c r="H80" i="3"/>
  <c r="W79" i="3"/>
  <c r="Y79" i="3"/>
  <c r="Q79" i="3"/>
  <c r="L79" i="3"/>
  <c r="H79" i="3"/>
  <c r="W78" i="3"/>
  <c r="Y78" i="3"/>
  <c r="Q78" i="3"/>
  <c r="L78" i="3"/>
  <c r="H78" i="3"/>
  <c r="W77" i="3"/>
  <c r="Y77" i="3"/>
  <c r="Q77" i="3"/>
  <c r="L77" i="3"/>
  <c r="H77" i="3"/>
  <c r="W76" i="3"/>
  <c r="Y76" i="3"/>
  <c r="Q76" i="3"/>
  <c r="L76" i="3"/>
  <c r="H76" i="3"/>
  <c r="W75" i="3"/>
  <c r="Y75" i="3"/>
  <c r="Q75" i="3"/>
  <c r="L75" i="3"/>
  <c r="U80" i="3"/>
  <c r="O80" i="3"/>
  <c r="F80" i="3"/>
  <c r="S79" i="3"/>
  <c r="J79" i="3"/>
  <c r="U78" i="3"/>
  <c r="O78" i="3"/>
  <c r="F78" i="3"/>
  <c r="S77" i="3"/>
  <c r="J77" i="3"/>
  <c r="U76" i="3"/>
  <c r="O76" i="3"/>
  <c r="F76" i="3"/>
  <c r="S75" i="3"/>
  <c r="F75" i="3"/>
  <c r="U74" i="3"/>
  <c r="S74" i="3"/>
  <c r="O74" i="3"/>
  <c r="J74" i="3"/>
  <c r="F74" i="3"/>
  <c r="U73" i="3"/>
  <c r="S73" i="3"/>
  <c r="O73" i="3"/>
  <c r="J73" i="3"/>
  <c r="F73" i="3"/>
  <c r="U72" i="3"/>
  <c r="S72" i="3"/>
  <c r="O72" i="3"/>
  <c r="J72" i="3"/>
  <c r="F72" i="3"/>
  <c r="U71" i="3"/>
  <c r="S71" i="3"/>
  <c r="O71" i="3"/>
  <c r="J71" i="3"/>
  <c r="F71" i="3"/>
  <c r="U70" i="3"/>
  <c r="S70" i="3"/>
  <c r="O70" i="3"/>
  <c r="J70" i="3"/>
  <c r="F70" i="3"/>
  <c r="U69" i="3"/>
  <c r="S69" i="3"/>
  <c r="O69" i="3"/>
  <c r="J69" i="3"/>
  <c r="F69" i="3"/>
  <c r="U68" i="3"/>
  <c r="S68" i="3"/>
  <c r="O68" i="3"/>
  <c r="J68" i="3"/>
  <c r="F68" i="3"/>
  <c r="U67" i="3"/>
  <c r="S67" i="3"/>
  <c r="O67" i="3"/>
  <c r="J67" i="3"/>
  <c r="F67" i="3"/>
  <c r="U66" i="3"/>
  <c r="S66" i="3"/>
  <c r="O66" i="3"/>
  <c r="J66" i="3"/>
  <c r="F66" i="3"/>
  <c r="U65" i="3"/>
  <c r="S65" i="3"/>
  <c r="O65" i="3"/>
  <c r="J65" i="3"/>
  <c r="F65" i="3"/>
  <c r="U64" i="3"/>
  <c r="S64" i="3"/>
  <c r="O64" i="3"/>
  <c r="J64" i="3"/>
  <c r="F64" i="3"/>
  <c r="U63" i="3"/>
  <c r="S63" i="3"/>
  <c r="O63" i="3"/>
  <c r="J63" i="3"/>
  <c r="F63" i="3"/>
  <c r="U62" i="3"/>
  <c r="S62" i="3"/>
  <c r="O62" i="3"/>
  <c r="J62" i="3"/>
  <c r="F62" i="3"/>
  <c r="U61" i="3"/>
  <c r="S61" i="3"/>
  <c r="O61" i="3"/>
  <c r="J61" i="3"/>
  <c r="F61" i="3"/>
  <c r="U60" i="3"/>
  <c r="S60" i="3"/>
  <c r="O60" i="3"/>
  <c r="J60" i="3"/>
  <c r="F60" i="3"/>
  <c r="U59" i="3"/>
  <c r="S59" i="3"/>
  <c r="O59" i="3"/>
  <c r="J59" i="3"/>
  <c r="F59" i="3"/>
  <c r="U58" i="3"/>
  <c r="S58" i="3"/>
  <c r="O58" i="3"/>
  <c r="J58" i="3"/>
  <c r="F58" i="3"/>
  <c r="U57" i="3"/>
  <c r="S57" i="3"/>
  <c r="O57" i="3"/>
  <c r="J57" i="3"/>
  <c r="F57" i="3"/>
  <c r="U56" i="3"/>
  <c r="S56" i="3"/>
  <c r="J75" i="3"/>
  <c r="E75" i="3"/>
  <c r="E74" i="3"/>
  <c r="E73" i="3"/>
  <c r="E72" i="3"/>
  <c r="E71" i="3"/>
  <c r="E70" i="3"/>
  <c r="E69" i="3"/>
  <c r="E68" i="3"/>
  <c r="E67" i="3"/>
  <c r="E66" i="3"/>
  <c r="E65" i="3"/>
  <c r="E64" i="3"/>
  <c r="E63" i="3"/>
  <c r="E62" i="3"/>
  <c r="E61" i="3"/>
  <c r="E60" i="3"/>
  <c r="E59" i="3"/>
  <c r="E58" i="3"/>
  <c r="S80" i="3"/>
  <c r="J80" i="3"/>
  <c r="U79" i="3"/>
  <c r="O79" i="3"/>
  <c r="F79" i="3"/>
  <c r="S78" i="3"/>
  <c r="J78" i="3"/>
  <c r="U77" i="3"/>
  <c r="O77" i="3"/>
  <c r="F77" i="3"/>
  <c r="S76" i="3"/>
  <c r="J76" i="3"/>
  <c r="U75" i="3"/>
  <c r="O75" i="3"/>
  <c r="H75" i="3"/>
  <c r="W74" i="3"/>
  <c r="Y74" i="3"/>
  <c r="Q74" i="3"/>
  <c r="L74" i="3"/>
  <c r="H74" i="3"/>
  <c r="W73" i="3"/>
  <c r="Y73" i="3"/>
  <c r="Q73" i="3"/>
  <c r="L73" i="3"/>
  <c r="H73" i="3"/>
  <c r="W72" i="3"/>
  <c r="Y72" i="3"/>
  <c r="Q72" i="3"/>
  <c r="L72" i="3"/>
  <c r="H72" i="3"/>
  <c r="W71" i="3"/>
  <c r="Y71" i="3"/>
  <c r="Q71" i="3"/>
  <c r="L71" i="3"/>
  <c r="H71" i="3"/>
  <c r="W70" i="3"/>
  <c r="Y70" i="3"/>
  <c r="Q70" i="3"/>
  <c r="L70" i="3"/>
  <c r="H70" i="3"/>
  <c r="W69" i="3"/>
  <c r="Y69" i="3"/>
  <c r="Q69" i="3"/>
  <c r="L69" i="3"/>
  <c r="H69" i="3"/>
  <c r="W68" i="3"/>
  <c r="Y68" i="3"/>
  <c r="Q68" i="3"/>
  <c r="L68" i="3"/>
  <c r="H68" i="3"/>
  <c r="W67" i="3"/>
  <c r="Y67" i="3"/>
  <c r="Q67" i="3"/>
  <c r="L67" i="3"/>
  <c r="H67" i="3"/>
  <c r="W66" i="3"/>
  <c r="Y66" i="3"/>
  <c r="Q66" i="3"/>
  <c r="L66" i="3"/>
  <c r="H66" i="3"/>
  <c r="W65" i="3"/>
  <c r="Y65" i="3"/>
  <c r="Q65" i="3"/>
  <c r="L65" i="3"/>
  <c r="H65" i="3"/>
  <c r="W64" i="3"/>
  <c r="Y64" i="3"/>
  <c r="Q64" i="3"/>
  <c r="L64" i="3"/>
  <c r="H64" i="3"/>
  <c r="W63" i="3"/>
  <c r="Y63" i="3"/>
  <c r="Q63" i="3"/>
  <c r="L63" i="3"/>
  <c r="H63" i="3"/>
  <c r="W62" i="3"/>
  <c r="Y62" i="3"/>
  <c r="Q62" i="3"/>
  <c r="L62" i="3"/>
  <c r="H62" i="3"/>
  <c r="W61" i="3"/>
  <c r="Y61" i="3"/>
  <c r="Q61" i="3"/>
  <c r="L61" i="3"/>
  <c r="H61" i="3"/>
  <c r="W60" i="3"/>
  <c r="Y60" i="3"/>
  <c r="Q60" i="3"/>
  <c r="L60" i="3"/>
  <c r="H60" i="3"/>
  <c r="W59" i="3"/>
  <c r="Y59" i="3"/>
  <c r="Q59" i="3"/>
  <c r="L59" i="3"/>
  <c r="H59" i="3"/>
  <c r="W58" i="3"/>
  <c r="Y58" i="3"/>
  <c r="Q58" i="3"/>
  <c r="H58" i="3"/>
  <c r="Y57" i="3"/>
  <c r="L57" i="3"/>
  <c r="Q56" i="3"/>
  <c r="L56" i="3"/>
  <c r="H56" i="3"/>
  <c r="W55" i="3"/>
  <c r="Y55" i="3"/>
  <c r="Q55" i="3"/>
  <c r="L55" i="3"/>
  <c r="H55" i="3"/>
  <c r="W54" i="3"/>
  <c r="Y54" i="3"/>
  <c r="Q54" i="3"/>
  <c r="L54" i="3"/>
  <c r="H54" i="3"/>
  <c r="W53" i="3"/>
  <c r="Y53" i="3"/>
  <c r="Q53" i="3"/>
  <c r="L53" i="3"/>
  <c r="H53" i="3"/>
  <c r="W52" i="3"/>
  <c r="Y52" i="3"/>
  <c r="Q52" i="3"/>
  <c r="L52" i="3"/>
  <c r="H52" i="3"/>
  <c r="W51" i="3"/>
  <c r="Y51" i="3"/>
  <c r="Q51" i="3"/>
  <c r="L51" i="3"/>
  <c r="H51" i="3"/>
  <c r="W50" i="3"/>
  <c r="Y50" i="3"/>
  <c r="Q50" i="3"/>
  <c r="L50" i="3"/>
  <c r="H50" i="3"/>
  <c r="W49" i="3"/>
  <c r="Y49" i="3"/>
  <c r="Q49" i="3"/>
  <c r="L49" i="3"/>
  <c r="H49" i="3"/>
  <c r="W48" i="3"/>
  <c r="Y48" i="3"/>
  <c r="Q48" i="3"/>
  <c r="L48" i="3"/>
  <c r="H48" i="3"/>
  <c r="W47" i="3"/>
  <c r="Y47" i="3"/>
  <c r="Q47" i="3"/>
  <c r="L47" i="3"/>
  <c r="H47" i="3"/>
  <c r="W46" i="3"/>
  <c r="Y46" i="3"/>
  <c r="Q46" i="3"/>
  <c r="L46" i="3"/>
  <c r="H46" i="3"/>
  <c r="W45" i="3"/>
  <c r="Y45" i="3"/>
  <c r="Q45" i="3"/>
  <c r="L45" i="3"/>
  <c r="H45" i="3"/>
  <c r="W44" i="3"/>
  <c r="Y44" i="3"/>
  <c r="Q44" i="3"/>
  <c r="L44" i="3"/>
  <c r="H44" i="3"/>
  <c r="W43" i="3"/>
  <c r="Y43" i="3"/>
  <c r="Q43" i="3"/>
  <c r="L43" i="3"/>
  <c r="H43" i="3"/>
  <c r="W42" i="3"/>
  <c r="Y42" i="3"/>
  <c r="Q42" i="3"/>
  <c r="L42" i="3"/>
  <c r="H42" i="3"/>
  <c r="W41" i="3"/>
  <c r="Y41" i="3"/>
  <c r="Q41" i="3"/>
  <c r="L41" i="3"/>
  <c r="H41" i="3"/>
  <c r="W40" i="3"/>
  <c r="Y40" i="3"/>
  <c r="Q40" i="3"/>
  <c r="L40" i="3"/>
  <c r="H40" i="3"/>
  <c r="W39" i="3"/>
  <c r="Y39" i="3"/>
  <c r="Q39" i="3"/>
  <c r="L39" i="3"/>
  <c r="H39" i="3"/>
  <c r="W38" i="3"/>
  <c r="Y38" i="3"/>
  <c r="Q38" i="3"/>
  <c r="L38" i="3"/>
  <c r="H38" i="3"/>
  <c r="W37" i="3"/>
  <c r="Y37" i="3"/>
  <c r="Q37" i="3"/>
  <c r="L37" i="3"/>
  <c r="H37" i="3"/>
  <c r="W36" i="3"/>
  <c r="Y36" i="3"/>
  <c r="Q36" i="3"/>
  <c r="L36" i="3"/>
  <c r="H36" i="3"/>
  <c r="W35" i="3"/>
  <c r="Y35" i="3"/>
  <c r="Q35" i="3"/>
  <c r="L35" i="3"/>
  <c r="H35" i="3"/>
  <c r="W34" i="3"/>
  <c r="Y34" i="3"/>
  <c r="Q34" i="3"/>
  <c r="L34" i="3"/>
  <c r="H34" i="3"/>
  <c r="W33" i="3"/>
  <c r="Y33" i="3"/>
  <c r="Q33" i="3"/>
  <c r="L33" i="3"/>
  <c r="H33" i="3"/>
  <c r="W32" i="3"/>
  <c r="Y32" i="3"/>
  <c r="Q32" i="3"/>
  <c r="L32" i="3"/>
  <c r="H32" i="3"/>
  <c r="W31" i="3"/>
  <c r="Y31" i="3"/>
  <c r="Q31" i="3"/>
  <c r="L31" i="3"/>
  <c r="H31" i="3"/>
  <c r="W30" i="3"/>
  <c r="Y30" i="3"/>
  <c r="Q30" i="3"/>
  <c r="L30" i="3"/>
  <c r="H30" i="3"/>
  <c r="W29" i="3"/>
  <c r="Y29" i="3"/>
  <c r="Q29" i="3"/>
  <c r="L29" i="3"/>
  <c r="H29" i="3"/>
  <c r="W28" i="3"/>
  <c r="Y28" i="3"/>
  <c r="Q28" i="3"/>
  <c r="L28" i="3"/>
  <c r="H28" i="3"/>
  <c r="W27" i="3"/>
  <c r="Y27" i="3"/>
  <c r="Q27" i="3"/>
  <c r="L27" i="3"/>
  <c r="H27" i="3"/>
  <c r="W26" i="3"/>
  <c r="Y26" i="3"/>
  <c r="Q26" i="3"/>
  <c r="L26" i="3"/>
  <c r="H26" i="3"/>
  <c r="E57" i="3"/>
  <c r="Y56" i="3"/>
  <c r="L58" i="3"/>
  <c r="W57" i="3"/>
  <c r="Q57" i="3"/>
  <c r="W56" i="3"/>
  <c r="O56" i="3"/>
  <c r="J56" i="3"/>
  <c r="F56" i="3"/>
  <c r="U55" i="3"/>
  <c r="S55" i="3"/>
  <c r="O55" i="3"/>
  <c r="J55" i="3"/>
  <c r="F55" i="3"/>
  <c r="U54" i="3"/>
  <c r="S54" i="3"/>
  <c r="O54" i="3"/>
  <c r="J54" i="3"/>
  <c r="F54" i="3"/>
  <c r="U53" i="3"/>
  <c r="S53" i="3"/>
  <c r="O53" i="3"/>
  <c r="J53" i="3"/>
  <c r="F53" i="3"/>
  <c r="U52" i="3"/>
  <c r="S52" i="3"/>
  <c r="O52" i="3"/>
  <c r="J52" i="3"/>
  <c r="F52" i="3"/>
  <c r="U51" i="3"/>
  <c r="S51" i="3"/>
  <c r="O51" i="3"/>
  <c r="J51" i="3"/>
  <c r="F51" i="3"/>
  <c r="U50" i="3"/>
  <c r="S50" i="3"/>
  <c r="O50" i="3"/>
  <c r="J50" i="3"/>
  <c r="F50" i="3"/>
  <c r="U49" i="3"/>
  <c r="S49" i="3"/>
  <c r="O49" i="3"/>
  <c r="J49" i="3"/>
  <c r="F49" i="3"/>
  <c r="U48" i="3"/>
  <c r="S48" i="3"/>
  <c r="O48" i="3"/>
  <c r="J48" i="3"/>
  <c r="F48" i="3"/>
  <c r="U47" i="3"/>
  <c r="S47" i="3"/>
  <c r="O47" i="3"/>
  <c r="J47" i="3"/>
  <c r="F47" i="3"/>
  <c r="U46" i="3"/>
  <c r="S46" i="3"/>
  <c r="O46" i="3"/>
  <c r="J46" i="3"/>
  <c r="F46" i="3"/>
  <c r="U45" i="3"/>
  <c r="S45" i="3"/>
  <c r="O45" i="3"/>
  <c r="J45" i="3"/>
  <c r="F45" i="3"/>
  <c r="U44" i="3"/>
  <c r="S44" i="3"/>
  <c r="O44" i="3"/>
  <c r="J44" i="3"/>
  <c r="F44" i="3"/>
  <c r="U43" i="3"/>
  <c r="S43" i="3"/>
  <c r="O43" i="3"/>
  <c r="J43" i="3"/>
  <c r="F43" i="3"/>
  <c r="U42" i="3"/>
  <c r="S42" i="3"/>
  <c r="O42" i="3"/>
  <c r="J42" i="3"/>
  <c r="F42" i="3"/>
  <c r="U41" i="3"/>
  <c r="S41" i="3"/>
  <c r="O41" i="3"/>
  <c r="J41" i="3"/>
  <c r="F41" i="3"/>
  <c r="U40" i="3"/>
  <c r="S40" i="3"/>
  <c r="O40" i="3"/>
  <c r="J40" i="3"/>
  <c r="F40" i="3"/>
  <c r="U39" i="3"/>
  <c r="S39" i="3"/>
  <c r="O39" i="3"/>
  <c r="J39" i="3"/>
  <c r="F39" i="3"/>
  <c r="U38" i="3"/>
  <c r="S38" i="3"/>
  <c r="O38" i="3"/>
  <c r="J38" i="3"/>
  <c r="F38" i="3"/>
  <c r="U37" i="3"/>
  <c r="S37" i="3"/>
  <c r="O37" i="3"/>
  <c r="J37" i="3"/>
  <c r="F37" i="3"/>
  <c r="U36" i="3"/>
  <c r="S36" i="3"/>
  <c r="O36" i="3"/>
  <c r="J36" i="3"/>
  <c r="F36" i="3"/>
  <c r="U35" i="3"/>
  <c r="S35" i="3"/>
  <c r="O35" i="3"/>
  <c r="J35" i="3"/>
  <c r="F35" i="3"/>
  <c r="U34" i="3"/>
  <c r="S34" i="3"/>
  <c r="O34" i="3"/>
  <c r="J34" i="3"/>
  <c r="F34" i="3"/>
  <c r="U33" i="3"/>
  <c r="S33" i="3"/>
  <c r="O33" i="3"/>
  <c r="J33" i="3"/>
  <c r="F33" i="3"/>
  <c r="U32" i="3"/>
  <c r="S32" i="3"/>
  <c r="O32" i="3"/>
  <c r="J32" i="3"/>
  <c r="F32" i="3"/>
  <c r="U31" i="3"/>
  <c r="S31" i="3"/>
  <c r="O31" i="3"/>
  <c r="J31" i="3"/>
  <c r="F31" i="3"/>
  <c r="U30" i="3"/>
  <c r="S30" i="3"/>
  <c r="O30" i="3"/>
  <c r="J30" i="3"/>
  <c r="F30" i="3"/>
  <c r="U29" i="3"/>
  <c r="S29" i="3"/>
  <c r="O29" i="3"/>
  <c r="J29" i="3"/>
  <c r="F29" i="3"/>
  <c r="U28" i="3"/>
  <c r="S28" i="3"/>
  <c r="O28" i="3"/>
  <c r="J28" i="3"/>
  <c r="F28" i="3"/>
  <c r="U27" i="3"/>
  <c r="S27" i="3"/>
  <c r="O27" i="3"/>
  <c r="J27" i="3"/>
  <c r="F27" i="3"/>
  <c r="U26" i="3"/>
  <c r="S26" i="3"/>
  <c r="O26" i="3"/>
  <c r="J26" i="3"/>
  <c r="F26" i="3"/>
  <c r="U25" i="3"/>
  <c r="S25" i="3"/>
  <c r="O25" i="3"/>
  <c r="H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W25" i="3"/>
  <c r="J25" i="3"/>
  <c r="U24" i="3"/>
  <c r="O24" i="3"/>
  <c r="E24" i="3"/>
  <c r="E23" i="3"/>
  <c r="E22" i="3"/>
  <c r="E21" i="3"/>
  <c r="E18" i="3"/>
  <c r="Y25" i="3"/>
  <c r="H25" i="3"/>
  <c r="Y24" i="3"/>
  <c r="L24" i="3"/>
  <c r="H24" i="3"/>
  <c r="W23" i="3"/>
  <c r="Y23" i="3"/>
  <c r="Q23" i="3"/>
  <c r="L23" i="3"/>
  <c r="H23" i="3"/>
  <c r="W22" i="3"/>
  <c r="Y22" i="3"/>
  <c r="Q22" i="3"/>
  <c r="L22" i="3"/>
  <c r="H22" i="3"/>
  <c r="W21" i="3"/>
  <c r="Y21" i="3"/>
  <c r="Q21" i="3"/>
  <c r="L21" i="3"/>
  <c r="H21" i="3"/>
  <c r="W18" i="3"/>
  <c r="Y18" i="3"/>
  <c r="Q18" i="3"/>
  <c r="L18" i="3"/>
  <c r="H18" i="3"/>
  <c r="Q25" i="3"/>
  <c r="F25" i="3"/>
  <c r="S24" i="3"/>
  <c r="L25" i="3"/>
  <c r="W24" i="3"/>
  <c r="Q24" i="3"/>
  <c r="J24" i="3"/>
  <c r="F24" i="3"/>
  <c r="U23" i="3"/>
  <c r="S23" i="3"/>
  <c r="O23" i="3"/>
  <c r="J23" i="3"/>
  <c r="F23" i="3"/>
  <c r="U22" i="3"/>
  <c r="S22" i="3"/>
  <c r="O22" i="3"/>
  <c r="J22" i="3"/>
  <c r="F22" i="3"/>
  <c r="U21" i="3"/>
  <c r="S21" i="3"/>
  <c r="O21" i="3"/>
  <c r="J21" i="3"/>
  <c r="F21" i="3"/>
  <c r="U18" i="3"/>
  <c r="S18" i="3"/>
  <c r="O18" i="3"/>
  <c r="J18" i="3"/>
  <c r="F18" i="3"/>
  <c r="D46" i="8" a="1"/>
  <c r="D46" i="8" s="1"/>
  <c r="L771" i="2"/>
  <c r="L763" i="2"/>
  <c r="H889" i="2"/>
  <c r="E239" i="3"/>
  <c r="T798" i="2"/>
  <c r="L797" i="2"/>
  <c r="F36" i="8"/>
  <c r="D26" i="8" a="1"/>
  <c r="D26" i="8" s="1"/>
  <c r="F43" i="8"/>
  <c r="D27" i="8" a="1"/>
  <c r="D27" i="8" s="1"/>
  <c r="D36" i="8" a="1"/>
  <c r="D36" i="8" s="1"/>
  <c r="H37" i="8"/>
  <c r="F39" i="8"/>
  <c r="F40" i="8"/>
  <c r="D43" i="8" a="1"/>
  <c r="D43" i="8" s="1"/>
  <c r="H36" i="8"/>
  <c r="H39" i="8"/>
  <c r="F26" i="8"/>
  <c r="H31" i="8"/>
  <c r="H38" i="8"/>
  <c r="H47" i="8"/>
  <c r="H25" i="8"/>
  <c r="R12" i="3"/>
  <c r="F31" i="8"/>
  <c r="D25" i="8" a="1"/>
  <c r="D25" i="8" s="1"/>
  <c r="H27" i="8"/>
  <c r="F27" i="8"/>
  <c r="V12" i="3"/>
  <c r="G889" i="2"/>
  <c r="F29" i="8"/>
  <c r="D49" i="8" a="1"/>
  <c r="D49" i="8" s="1"/>
  <c r="H48" i="8"/>
  <c r="H49" i="8"/>
  <c r="H888" i="2"/>
  <c r="H26" i="8"/>
  <c r="P12" i="3"/>
  <c r="D31" i="8" a="1"/>
  <c r="D31" i="8" s="1"/>
  <c r="E237" i="3"/>
  <c r="F38" i="8"/>
  <c r="G887" i="2"/>
  <c r="H43" i="8"/>
  <c r="F25" i="8"/>
  <c r="F46" i="8"/>
  <c r="H50" i="8"/>
  <c r="I891" i="2"/>
  <c r="N12" i="3"/>
  <c r="F47" i="8"/>
  <c r="H29" i="8"/>
  <c r="D38" i="8" a="1"/>
  <c r="D38" i="8" s="1"/>
  <c r="D30" i="8" a="1"/>
  <c r="D30" i="8" s="1"/>
  <c r="D33" i="8" a="1"/>
  <c r="D33" i="8" s="1"/>
  <c r="F49" i="8"/>
  <c r="F50" i="8"/>
  <c r="J885" i="2"/>
  <c r="X12" i="3"/>
  <c r="D47" i="8" a="1"/>
  <c r="D47" i="8" s="1"/>
  <c r="D48" i="8" a="1"/>
  <c r="D48" i="8" s="1"/>
  <c r="D45" i="8" a="1"/>
  <c r="D45" i="8" s="1"/>
  <c r="F30" i="8"/>
  <c r="F45" i="8"/>
  <c r="H887" i="2"/>
  <c r="F33" i="8"/>
  <c r="H30" i="8"/>
  <c r="H34" i="8"/>
  <c r="F48" i="8"/>
  <c r="H45" i="8"/>
  <c r="D39" i="8" a="1"/>
  <c r="D39" i="8" s="1"/>
  <c r="H33" i="8"/>
  <c r="D50" i="8" a="1"/>
  <c r="D50" i="8" s="1"/>
  <c r="D40" i="8" a="1"/>
  <c r="D40" i="8" s="1"/>
  <c r="T12" i="3"/>
  <c r="H40" i="8"/>
  <c r="E241" i="3"/>
  <c r="E238" i="3"/>
  <c r="E242" i="3"/>
  <c r="E244" i="3"/>
  <c r="E240" i="3"/>
  <c r="G888" i="2"/>
  <c r="D29" i="8" a="1"/>
  <c r="D29" i="8" s="1"/>
  <c r="T601" i="2" l="1"/>
  <c r="J601" i="2"/>
  <c r="L601" i="2"/>
  <c r="M601" i="2"/>
  <c r="J600" i="2"/>
  <c r="L600" i="2"/>
  <c r="T600" i="2"/>
  <c r="M600" i="2"/>
  <c r="J425" i="2"/>
  <c r="L425" i="2"/>
  <c r="M425" i="2"/>
  <c r="T579" i="2"/>
  <c r="J575" i="2"/>
  <c r="T575" i="2"/>
  <c r="L575" i="2"/>
  <c r="M575" i="2"/>
  <c r="T106" i="2"/>
  <c r="J579" i="2"/>
  <c r="M579" i="2"/>
  <c r="L579" i="2"/>
  <c r="M426" i="2"/>
  <c r="L426" i="2"/>
  <c r="J426" i="2"/>
  <c r="J424" i="2"/>
  <c r="L424" i="2"/>
  <c r="M424" i="2"/>
  <c r="J847" i="2"/>
  <c r="L838" i="2"/>
  <c r="L835" i="2"/>
  <c r="L830" i="2"/>
  <c r="L824" i="2"/>
  <c r="L823" i="2"/>
  <c r="L814" i="2"/>
  <c r="J595" i="2"/>
  <c r="T595" i="2"/>
  <c r="L595" i="2"/>
  <c r="M595" i="2"/>
  <c r="J596" i="2"/>
  <c r="T596" i="2"/>
  <c r="L596" i="2"/>
  <c r="M596" i="2"/>
  <c r="M106" i="2"/>
  <c r="J106" i="2"/>
  <c r="L106" i="2"/>
  <c r="J105" i="2"/>
  <c r="L105" i="2"/>
  <c r="M105" i="2"/>
  <c r="T105" i="2"/>
  <c r="T132" i="2"/>
  <c r="L132" i="2"/>
  <c r="M132" i="2"/>
  <c r="J132" i="2"/>
  <c r="J129" i="2"/>
  <c r="M129" i="2"/>
  <c r="L129" i="2"/>
  <c r="J288" i="2"/>
  <c r="T288" i="2"/>
  <c r="F283" i="3" s="1"/>
  <c r="L288" i="2"/>
  <c r="M288" i="2"/>
  <c r="L292" i="2"/>
  <c r="T292" i="2"/>
  <c r="J292" i="2"/>
  <c r="M292" i="2"/>
  <c r="M10" i="2"/>
  <c r="T10" i="2"/>
  <c r="L10" i="2"/>
  <c r="J10" i="2"/>
  <c r="J4" i="2"/>
  <c r="T4" i="2"/>
  <c r="H284" i="3" s="1"/>
  <c r="M4" i="2"/>
  <c r="L4" i="2"/>
  <c r="M104" i="2"/>
  <c r="T104" i="2"/>
  <c r="J104" i="2"/>
  <c r="L104" i="2"/>
  <c r="J103" i="2"/>
  <c r="L103" i="2"/>
  <c r="M103" i="2"/>
  <c r="T103" i="2"/>
  <c r="J102" i="2"/>
  <c r="T102" i="2"/>
  <c r="M102" i="2"/>
  <c r="L102" i="2"/>
  <c r="T425" i="2"/>
  <c r="J420" i="2"/>
  <c r="L420" i="2"/>
  <c r="M420" i="2"/>
  <c r="T420" i="2"/>
  <c r="J447" i="2"/>
  <c r="L447" i="2"/>
  <c r="M447" i="2"/>
  <c r="J455" i="2"/>
  <c r="M455" i="2"/>
  <c r="L455" i="2"/>
  <c r="T455" i="2"/>
  <c r="L450" i="2"/>
  <c r="T450" i="2"/>
  <c r="J450" i="2"/>
  <c r="M450" i="2"/>
  <c r="M439" i="2"/>
  <c r="J439" i="2"/>
  <c r="L439" i="2"/>
  <c r="J438" i="2"/>
  <c r="M438" i="2"/>
  <c r="T438" i="2"/>
  <c r="L438" i="2"/>
  <c r="T439" i="2"/>
  <c r="L443" i="2"/>
  <c r="T443" i="2"/>
  <c r="J443" i="2"/>
  <c r="M443" i="2"/>
  <c r="T426" i="2"/>
  <c r="J430" i="2"/>
  <c r="T430" i="2"/>
  <c r="L430" i="2"/>
  <c r="M430" i="2"/>
  <c r="J55" i="2"/>
  <c r="M55" i="2"/>
  <c r="L55" i="2"/>
  <c r="T55" i="2"/>
  <c r="J56" i="2"/>
  <c r="T56" i="2"/>
  <c r="M56" i="2"/>
  <c r="L56" i="2"/>
  <c r="J48" i="2"/>
  <c r="T48" i="2"/>
  <c r="M48" i="2"/>
  <c r="L48" i="2"/>
  <c r="J691" i="2"/>
  <c r="M691" i="2"/>
  <c r="T694" i="2"/>
  <c r="J692" i="2"/>
  <c r="M692" i="2"/>
  <c r="J690" i="2"/>
  <c r="T690" i="2"/>
  <c r="M690" i="2"/>
  <c r="T691" i="2"/>
  <c r="T692" i="2"/>
  <c r="J693" i="2"/>
  <c r="M693" i="2"/>
  <c r="T693" i="2"/>
  <c r="J674" i="2"/>
  <c r="T674" i="2"/>
  <c r="M674" i="2"/>
  <c r="J681" i="2"/>
  <c r="T681" i="2"/>
  <c r="M681" i="2"/>
  <c r="J677" i="2"/>
  <c r="N166" i="3" a="1"/>
  <c r="N166" i="3" s="1"/>
  <c r="M677" i="2"/>
  <c r="J689" i="2"/>
  <c r="M689" i="2"/>
  <c r="J688" i="2"/>
  <c r="M688" i="2"/>
  <c r="T688" i="2"/>
  <c r="K21" i="3"/>
  <c r="I92" i="3"/>
  <c r="G73" i="3"/>
  <c r="G55" i="3"/>
  <c r="I80" i="3"/>
  <c r="K18" i="3"/>
  <c r="K42" i="3"/>
  <c r="G39" i="3"/>
  <c r="G101" i="3"/>
  <c r="G64" i="3"/>
  <c r="G118" i="3"/>
  <c r="K40" i="3"/>
  <c r="K14" i="3" s="1"/>
  <c r="G49" i="3"/>
  <c r="G45" i="3"/>
  <c r="G80" i="3"/>
  <c r="G21" i="3"/>
  <c r="K92" i="3"/>
  <c r="G18" i="3"/>
  <c r="I64" i="3"/>
  <c r="I14" i="3" s="1"/>
  <c r="K101" i="3"/>
  <c r="G92" i="3"/>
  <c r="I73" i="3"/>
  <c r="J682" i="2"/>
  <c r="T682" i="2"/>
  <c r="M682" i="2"/>
  <c r="L648" i="2"/>
  <c r="M648" i="2"/>
  <c r="J648" i="2"/>
  <c r="J645" i="2"/>
  <c r="L645" i="2"/>
  <c r="M645" i="2"/>
  <c r="L649" i="2"/>
  <c r="J649" i="2"/>
  <c r="M649" i="2"/>
  <c r="M647" i="2"/>
  <c r="L647" i="2"/>
  <c r="J647" i="2"/>
  <c r="J630" i="2"/>
  <c r="T630" i="2"/>
  <c r="L630" i="2"/>
  <c r="M630" i="2"/>
  <c r="L633" i="2"/>
  <c r="J633" i="2"/>
  <c r="T633" i="2"/>
  <c r="M633" i="2"/>
  <c r="M625" i="2"/>
  <c r="L625" i="2"/>
  <c r="T625" i="2"/>
  <c r="J625" i="2"/>
  <c r="J685" i="2"/>
  <c r="T685" i="2"/>
  <c r="M685" i="2"/>
  <c r="J673" i="2"/>
  <c r="M673" i="2"/>
  <c r="P134" i="3" a="1"/>
  <c r="P134" i="3" s="1"/>
  <c r="T701" i="2"/>
  <c r="P138" i="3" a="1"/>
  <c r="P138" i="3" s="1"/>
  <c r="P141" i="3" a="1"/>
  <c r="P141" i="3" s="1"/>
  <c r="P155" i="3" a="1"/>
  <c r="P155" i="3" s="1"/>
  <c r="P140" i="3" a="1"/>
  <c r="P140" i="3" s="1"/>
  <c r="P231" i="3" a="1"/>
  <c r="P231" i="3" s="1"/>
  <c r="P162" i="3" a="1"/>
  <c r="P162" i="3" s="1"/>
  <c r="P129" i="3" a="1"/>
  <c r="P129" i="3" s="1"/>
  <c r="P161" i="3" a="1"/>
  <c r="P161" i="3" s="1"/>
  <c r="P186" i="3" a="1"/>
  <c r="P186" i="3" s="1"/>
  <c r="Q145" i="3" a="1"/>
  <c r="Q145" i="3" s="1"/>
  <c r="P145" i="3" a="1"/>
  <c r="P145" i="3" s="1"/>
  <c r="P133" i="3" a="1"/>
  <c r="P133" i="3" s="1"/>
  <c r="P147" i="3" a="1"/>
  <c r="P147" i="3" s="1"/>
  <c r="P177" i="3" a="1"/>
  <c r="P177" i="3" s="1"/>
  <c r="P159" i="3" a="1"/>
  <c r="P159" i="3" s="1"/>
  <c r="P153" i="3" a="1"/>
  <c r="P153" i="3" s="1"/>
  <c r="P132" i="3" a="1"/>
  <c r="P132" i="3" s="1"/>
  <c r="P143" i="3" a="1"/>
  <c r="P143" i="3" s="1"/>
  <c r="P214" i="3" a="1"/>
  <c r="P214" i="3" s="1"/>
  <c r="P149" i="3" a="1"/>
  <c r="P149" i="3" s="1"/>
  <c r="P160" i="3" a="1"/>
  <c r="P160" i="3" s="1"/>
  <c r="P158" i="3" a="1"/>
  <c r="P158" i="3" s="1"/>
  <c r="Q134" i="3" a="1"/>
  <c r="Q134" i="3" s="1"/>
  <c r="Q129" i="3" a="1"/>
  <c r="Q129" i="3" s="1"/>
  <c r="Q205" i="3" a="1"/>
  <c r="Q205" i="3" s="1"/>
  <c r="P205" i="3" a="1"/>
  <c r="P205" i="3" s="1"/>
  <c r="P142" i="3" a="1"/>
  <c r="P142" i="3" s="1"/>
  <c r="P168" i="3" a="1"/>
  <c r="P168" i="3" s="1"/>
  <c r="Q168" i="3" a="1"/>
  <c r="Q168" i="3" s="1"/>
  <c r="P193" i="3" a="1"/>
  <c r="P193" i="3" s="1"/>
  <c r="P154" i="3" a="1"/>
  <c r="P154" i="3" s="1"/>
  <c r="P152" i="3" a="1"/>
  <c r="P152" i="3" s="1"/>
  <c r="P131" i="3" a="1"/>
  <c r="P131" i="3" s="1"/>
  <c r="T419" i="2"/>
  <c r="T417" i="2"/>
  <c r="T416" i="2"/>
  <c r="T418" i="2"/>
  <c r="T700" i="2"/>
  <c r="T699" i="2"/>
  <c r="T698" i="2"/>
  <c r="T702" i="2"/>
  <c r="J697" i="2"/>
  <c r="T697" i="2"/>
  <c r="M697" i="2"/>
  <c r="T472" i="2"/>
  <c r="J415" i="2"/>
  <c r="T415" i="2"/>
  <c r="L415" i="2"/>
  <c r="M415" i="2"/>
  <c r="T355" i="3"/>
  <c r="T473" i="2"/>
  <c r="T389" i="2"/>
  <c r="T388" i="2"/>
  <c r="T390" i="2"/>
  <c r="J391" i="2"/>
  <c r="M391" i="2"/>
  <c r="L391" i="2"/>
  <c r="T391" i="2"/>
  <c r="J387" i="2"/>
  <c r="M387" i="2"/>
  <c r="L387" i="2"/>
  <c r="T387" i="2"/>
  <c r="J471" i="2"/>
  <c r="L471" i="2"/>
  <c r="T471" i="2"/>
  <c r="M471" i="2"/>
  <c r="J474" i="2"/>
  <c r="T474" i="2"/>
  <c r="L474" i="2"/>
  <c r="M474" i="2"/>
  <c r="T36" i="2"/>
  <c r="T40" i="2"/>
  <c r="T37" i="2"/>
  <c r="T29" i="2"/>
  <c r="T268" i="2"/>
  <c r="J115" i="2"/>
  <c r="L115" i="2"/>
  <c r="T115" i="2"/>
  <c r="M115" i="2"/>
  <c r="T83" i="2"/>
  <c r="T76" i="2"/>
  <c r="T75" i="2"/>
  <c r="T81" i="2"/>
  <c r="T80" i="2"/>
  <c r="T79" i="2"/>
  <c r="T74" i="2"/>
  <c r="T77" i="2"/>
  <c r="T78" i="2"/>
  <c r="T73" i="2"/>
  <c r="T72" i="2"/>
  <c r="T82" i="2"/>
  <c r="T308" i="2"/>
  <c r="T307" i="2"/>
  <c r="T304" i="2"/>
  <c r="T306" i="2"/>
  <c r="T305" i="2"/>
  <c r="T146" i="2"/>
  <c r="T149" i="2"/>
  <c r="T148" i="2"/>
  <c r="T147" i="2"/>
  <c r="T127" i="2"/>
  <c r="T128" i="2"/>
  <c r="T124" i="2"/>
  <c r="T125" i="2"/>
  <c r="T122" i="2"/>
  <c r="T126" i="2"/>
  <c r="T123" i="2"/>
  <c r="T113" i="2"/>
  <c r="T112" i="2"/>
  <c r="T111" i="2"/>
  <c r="T114" i="2"/>
  <c r="T57" i="2"/>
  <c r="T59" i="2"/>
  <c r="T58" i="2"/>
  <c r="T34" i="2"/>
  <c r="T32" i="2"/>
  <c r="T31" i="2"/>
  <c r="T35" i="2"/>
  <c r="T33" i="2"/>
  <c r="T30" i="2"/>
  <c r="T68" i="2"/>
  <c r="T69" i="2"/>
  <c r="T70" i="2"/>
  <c r="T86" i="2"/>
  <c r="T87" i="2"/>
  <c r="T85" i="2"/>
  <c r="T89" i="2"/>
  <c r="T95" i="2"/>
  <c r="T92" i="2"/>
  <c r="T93" i="2"/>
  <c r="T96" i="2"/>
  <c r="T94" i="2"/>
  <c r="T91" i="2"/>
  <c r="T90" i="2"/>
  <c r="T296" i="2"/>
  <c r="T294" i="2"/>
  <c r="T295" i="2"/>
  <c r="T285" i="2"/>
  <c r="T284" i="2"/>
  <c r="T117" i="2"/>
  <c r="T118" i="2"/>
  <c r="T116" i="2"/>
  <c r="T119" i="2"/>
  <c r="J121" i="2"/>
  <c r="T121" i="2"/>
  <c r="M121" i="2"/>
  <c r="L121" i="2"/>
  <c r="T14" i="2"/>
  <c r="T11" i="2"/>
  <c r="T15" i="2"/>
  <c r="T13" i="2"/>
  <c r="T12" i="2"/>
  <c r="T26" i="2"/>
  <c r="T24" i="2"/>
  <c r="T25" i="2"/>
  <c r="T27" i="2"/>
  <c r="T39" i="2"/>
  <c r="T38" i="2"/>
  <c r="T99" i="2"/>
  <c r="T101" i="2"/>
  <c r="T100" i="2"/>
  <c r="T98" i="2"/>
  <c r="T108" i="2"/>
  <c r="T109" i="2"/>
  <c r="T107" i="2"/>
  <c r="T280" i="2"/>
  <c r="T278" i="2"/>
  <c r="T282" i="2"/>
  <c r="T281" i="2"/>
  <c r="T279" i="2"/>
  <c r="J120" i="2"/>
  <c r="M120" i="2"/>
  <c r="L120" i="2"/>
  <c r="T120" i="2"/>
  <c r="T47" i="2"/>
  <c r="T42" i="2"/>
  <c r="T46" i="2"/>
  <c r="T45" i="2"/>
  <c r="T43" i="2"/>
  <c r="T44" i="2"/>
  <c r="T41" i="2"/>
  <c r="T21" i="2"/>
  <c r="T22" i="2"/>
  <c r="T19" i="2"/>
  <c r="T17" i="2"/>
  <c r="T20" i="2"/>
  <c r="T18" i="2"/>
  <c r="T62" i="2"/>
  <c r="T63" i="2"/>
  <c r="T65" i="2"/>
  <c r="T64" i="2"/>
  <c r="T61" i="2"/>
  <c r="T299" i="2"/>
  <c r="T301" i="2"/>
  <c r="T302" i="2"/>
  <c r="T300" i="2"/>
  <c r="T274" i="2"/>
  <c r="T275" i="2"/>
  <c r="T270" i="2"/>
  <c r="T269" i="2"/>
  <c r="T272" i="2"/>
  <c r="T273" i="2"/>
  <c r="T271" i="2"/>
  <c r="T137" i="2"/>
  <c r="T141" i="2"/>
  <c r="T140" i="2"/>
  <c r="T135" i="2"/>
  <c r="T134" i="2"/>
  <c r="T138" i="2"/>
  <c r="T133" i="2"/>
  <c r="T143" i="2"/>
  <c r="T144" i="2"/>
  <c r="T136" i="2"/>
  <c r="T139" i="2"/>
  <c r="T142" i="2"/>
  <c r="J150" i="2"/>
  <c r="M150" i="2"/>
  <c r="T150" i="2"/>
  <c r="H299" i="3" s="1"/>
  <c r="L150" i="2"/>
  <c r="J145" i="2"/>
  <c r="M145" i="2"/>
  <c r="T145" i="2"/>
  <c r="L145" i="2"/>
  <c r="J110" i="2"/>
  <c r="T110" i="2"/>
  <c r="L110" i="2"/>
  <c r="M110" i="2"/>
  <c r="J268" i="2"/>
  <c r="M268" i="2"/>
  <c r="L268" i="2"/>
  <c r="W15" i="3"/>
  <c r="O14" i="3"/>
  <c r="Y14" i="3"/>
  <c r="N15" i="3"/>
  <c r="R14" i="3"/>
  <c r="U15" i="3"/>
  <c r="V14" i="3"/>
  <c r="V15" i="3"/>
  <c r="X14" i="3"/>
  <c r="W14" i="3"/>
  <c r="R15" i="3"/>
  <c r="P14" i="3"/>
  <c r="X15" i="3"/>
  <c r="S14" i="3"/>
  <c r="O15" i="3"/>
  <c r="U14" i="3"/>
  <c r="N14" i="3"/>
  <c r="Y15" i="3"/>
  <c r="J14" i="3"/>
  <c r="Q14" i="3"/>
  <c r="T14" i="3"/>
  <c r="T15" i="3"/>
  <c r="P15" i="3"/>
  <c r="H14" i="3"/>
  <c r="L14" i="3"/>
  <c r="F14" i="3"/>
  <c r="F4" i="3" s="1"/>
  <c r="E14" i="3"/>
  <c r="J303" i="2"/>
  <c r="L303" i="2"/>
  <c r="M303" i="2"/>
  <c r="T303" i="2"/>
  <c r="J309" i="2"/>
  <c r="L309" i="2"/>
  <c r="M309" i="2"/>
  <c r="J298" i="2"/>
  <c r="T298" i="2"/>
  <c r="M298" i="2"/>
  <c r="L298" i="2"/>
  <c r="J297" i="2"/>
  <c r="T297" i="2"/>
  <c r="M297" i="2"/>
  <c r="L297" i="2"/>
  <c r="T309" i="2"/>
  <c r="T310" i="2"/>
  <c r="J293" i="2"/>
  <c r="L293" i="2"/>
  <c r="M293" i="2"/>
  <c r="T293" i="2"/>
  <c r="J287" i="2"/>
  <c r="L287" i="2"/>
  <c r="T287" i="2"/>
  <c r="M287" i="2"/>
  <c r="J286" i="2"/>
  <c r="T286" i="2"/>
  <c r="L286" i="2"/>
  <c r="M286" i="2"/>
  <c r="J283" i="2"/>
  <c r="M283" i="2"/>
  <c r="L283" i="2"/>
  <c r="T283" i="2"/>
  <c r="J277" i="2"/>
  <c r="L277" i="2"/>
  <c r="M277" i="2"/>
  <c r="T277" i="2"/>
  <c r="J276" i="2"/>
  <c r="T276" i="2"/>
  <c r="L276" i="2"/>
  <c r="M276" i="2"/>
  <c r="J97" i="2"/>
  <c r="T97" i="2"/>
  <c r="L97" i="2"/>
  <c r="M97" i="2"/>
  <c r="J267" i="2"/>
  <c r="M267" i="2"/>
  <c r="T267" i="2"/>
  <c r="L267" i="2"/>
  <c r="J3" i="2"/>
  <c r="T3" i="2"/>
  <c r="M3" i="2"/>
  <c r="L3" i="2"/>
  <c r="J88" i="2"/>
  <c r="M88" i="2"/>
  <c r="L88" i="2"/>
  <c r="J84" i="2"/>
  <c r="M84" i="2"/>
  <c r="L84" i="2"/>
  <c r="T84" i="2"/>
  <c r="L854" i="2"/>
  <c r="J71" i="2"/>
  <c r="L71" i="2"/>
  <c r="M71" i="2"/>
  <c r="T71" i="2"/>
  <c r="T88" i="2"/>
  <c r="O353" i="3" s="1"/>
  <c r="J67" i="2"/>
  <c r="T67" i="2"/>
  <c r="L67" i="2"/>
  <c r="M67" i="2"/>
  <c r="J66" i="2"/>
  <c r="M66" i="2"/>
  <c r="L66" i="2"/>
  <c r="T66" i="2"/>
  <c r="J60" i="2"/>
  <c r="L60" i="2"/>
  <c r="M60" i="2"/>
  <c r="T60" i="2"/>
  <c r="J28" i="2"/>
  <c r="L28" i="2"/>
  <c r="M28" i="2"/>
  <c r="T28" i="2"/>
  <c r="J23" i="2"/>
  <c r="T23" i="2"/>
  <c r="L23" i="2"/>
  <c r="M23" i="2"/>
  <c r="J16" i="2"/>
  <c r="T16" i="2"/>
  <c r="M16" i="2"/>
  <c r="L16" i="2"/>
  <c r="S281" i="3"/>
  <c r="J37" i="2"/>
  <c r="L37" i="2"/>
  <c r="M37" i="2"/>
  <c r="J40" i="2"/>
  <c r="L40" i="2"/>
  <c r="M40" i="2"/>
  <c r="J29" i="2"/>
  <c r="L29" i="2"/>
  <c r="M29" i="2"/>
  <c r="J36" i="2"/>
  <c r="L36" i="2"/>
  <c r="M36" i="2"/>
  <c r="T266" i="2"/>
  <c r="T265" i="2"/>
  <c r="T264" i="2"/>
  <c r="T258" i="2"/>
  <c r="T261" i="2"/>
  <c r="T260" i="2"/>
  <c r="T262" i="2"/>
  <c r="T263" i="2"/>
  <c r="T259" i="2"/>
  <c r="T257" i="2"/>
  <c r="T255" i="2"/>
  <c r="T256" i="2"/>
  <c r="T254" i="2"/>
  <c r="T253" i="2"/>
  <c r="T220" i="2"/>
  <c r="T221" i="2"/>
  <c r="T222" i="2"/>
  <c r="T252" i="2"/>
  <c r="T249" i="2"/>
  <c r="T248" i="2"/>
  <c r="T247" i="2"/>
  <c r="T251" i="2"/>
  <c r="T250" i="2"/>
  <c r="T245" i="2"/>
  <c r="T244" i="2"/>
  <c r="T246" i="2"/>
  <c r="T243" i="2"/>
  <c r="T242" i="2"/>
  <c r="T241" i="2"/>
  <c r="T240" i="2"/>
  <c r="T239" i="2"/>
  <c r="T238" i="2"/>
  <c r="T234" i="2"/>
  <c r="T236" i="2"/>
  <c r="T235" i="2"/>
  <c r="T233" i="2"/>
  <c r="T237" i="2"/>
  <c r="T168" i="2"/>
  <c r="T169" i="2"/>
  <c r="T167" i="2"/>
  <c r="T232" i="2"/>
  <c r="T231" i="2"/>
  <c r="T230" i="2"/>
  <c r="T205" i="2"/>
  <c r="T206" i="2"/>
  <c r="T228" i="2"/>
  <c r="T229" i="2"/>
  <c r="T226" i="2"/>
  <c r="T225" i="2"/>
  <c r="T227" i="2"/>
  <c r="T223" i="2"/>
  <c r="T224" i="2"/>
  <c r="T211" i="2"/>
  <c r="T219" i="2"/>
  <c r="T216" i="2"/>
  <c r="T210" i="2"/>
  <c r="T209" i="2"/>
  <c r="T213" i="2"/>
  <c r="T212" i="2"/>
  <c r="T217" i="2"/>
  <c r="T215" i="2"/>
  <c r="T218" i="2"/>
  <c r="T214" i="2"/>
  <c r="T208" i="2"/>
  <c r="T204" i="2"/>
  <c r="T207" i="2"/>
  <c r="T197" i="2"/>
  <c r="T198" i="2"/>
  <c r="T191" i="2"/>
  <c r="T195" i="2"/>
  <c r="T183" i="2"/>
  <c r="T188" i="2"/>
  <c r="T187" i="2"/>
  <c r="T178" i="2"/>
  <c r="T193" i="2"/>
  <c r="T192" i="2"/>
  <c r="T201" i="2"/>
  <c r="T200" i="2"/>
  <c r="T184" i="2"/>
  <c r="T181" i="2"/>
  <c r="T202" i="2"/>
  <c r="T179" i="2"/>
  <c r="T190" i="2"/>
  <c r="T186" i="2"/>
  <c r="T194" i="2"/>
  <c r="T189" i="2"/>
  <c r="T180" i="2"/>
  <c r="T199" i="2"/>
  <c r="T185" i="2"/>
  <c r="T196" i="2"/>
  <c r="T203" i="2"/>
  <c r="T182" i="2"/>
  <c r="T175" i="2"/>
  <c r="T177" i="2"/>
  <c r="T176" i="2"/>
  <c r="T173" i="2"/>
  <c r="T174" i="2"/>
  <c r="T166" i="2"/>
  <c r="T171" i="2"/>
  <c r="T159" i="2"/>
  <c r="T163" i="2"/>
  <c r="T160" i="2"/>
  <c r="T161" i="2"/>
  <c r="T162" i="2"/>
  <c r="T165" i="2"/>
  <c r="T170" i="2"/>
  <c r="T172" i="2"/>
  <c r="T164" i="2"/>
  <c r="T589" i="2"/>
  <c r="T592" i="2"/>
  <c r="T841" i="2"/>
  <c r="T414" i="2"/>
  <c r="T412" i="2"/>
  <c r="T408" i="2"/>
  <c r="T409" i="2"/>
  <c r="T413" i="2"/>
  <c r="T406" i="2"/>
  <c r="T407" i="2"/>
  <c r="T410" i="2"/>
  <c r="T411" i="2"/>
  <c r="T401" i="2"/>
  <c r="T403" i="2"/>
  <c r="T399" i="2"/>
  <c r="T400" i="2"/>
  <c r="T404" i="2"/>
  <c r="T402" i="2"/>
  <c r="T591" i="2"/>
  <c r="T569" i="2"/>
  <c r="T573" i="2"/>
  <c r="T574" i="2"/>
  <c r="T571" i="2"/>
  <c r="T572" i="2"/>
  <c r="T570" i="2"/>
  <c r="T594" i="2"/>
  <c r="T590" i="2"/>
  <c r="T588" i="2"/>
  <c r="T585" i="2"/>
  <c r="T584" i="2"/>
  <c r="T582" i="2"/>
  <c r="T580" i="2"/>
  <c r="T583" i="2"/>
  <c r="T587" i="2"/>
  <c r="T586" i="2"/>
  <c r="T581" i="2"/>
  <c r="T842" i="2"/>
  <c r="T843" i="2"/>
  <c r="T845" i="2"/>
  <c r="T844" i="2"/>
  <c r="T846" i="2"/>
  <c r="T157" i="2"/>
  <c r="T153" i="2"/>
  <c r="T158" i="2"/>
  <c r="T151" i="2"/>
  <c r="T155" i="2"/>
  <c r="T156" i="2"/>
  <c r="T152" i="2"/>
  <c r="T154" i="2"/>
  <c r="T593" i="2"/>
  <c r="T564" i="2"/>
  <c r="T562" i="2"/>
  <c r="T567" i="2"/>
  <c r="T563" i="2"/>
  <c r="T565" i="2"/>
  <c r="T566" i="2"/>
  <c r="T385" i="2"/>
  <c r="T383" i="2"/>
  <c r="T386" i="2"/>
  <c r="T384" i="2"/>
  <c r="T394" i="2"/>
  <c r="T395" i="2"/>
  <c r="T396" i="2"/>
  <c r="T397" i="2"/>
  <c r="T393" i="2"/>
  <c r="T392" i="2"/>
  <c r="J382" i="2"/>
  <c r="T382" i="2"/>
  <c r="L382" i="2"/>
  <c r="M382" i="2"/>
  <c r="T847" i="2"/>
  <c r="L847" i="2"/>
  <c r="M847" i="2"/>
  <c r="J848" i="2"/>
  <c r="L848" i="2"/>
  <c r="M848" i="2"/>
  <c r="J841" i="2"/>
  <c r="L841" i="2"/>
  <c r="M841" i="2"/>
  <c r="J405" i="2"/>
  <c r="T405" i="2"/>
  <c r="Q265" i="3" s="1"/>
  <c r="M405" i="2"/>
  <c r="L405" i="2"/>
  <c r="J398" i="2"/>
  <c r="T398" i="2"/>
  <c r="M398" i="2"/>
  <c r="L398" i="2"/>
  <c r="T361" i="2"/>
  <c r="S20" i="3"/>
  <c r="T602" i="2"/>
  <c r="M592" i="2"/>
  <c r="L592" i="2"/>
  <c r="S19" i="3"/>
  <c r="J592" i="2"/>
  <c r="J593" i="2"/>
  <c r="M593" i="2"/>
  <c r="L593" i="2"/>
  <c r="J589" i="2"/>
  <c r="L589" i="2"/>
  <c r="M589" i="2"/>
  <c r="J591" i="2"/>
  <c r="M591" i="2"/>
  <c r="L591" i="2"/>
  <c r="J568" i="2"/>
  <c r="T568" i="2"/>
  <c r="M568" i="2"/>
  <c r="L568" i="2"/>
  <c r="T554" i="2"/>
  <c r="T553" i="2"/>
  <c r="T552" i="2"/>
  <c r="T551" i="2"/>
  <c r="J561" i="2"/>
  <c r="T561" i="2"/>
  <c r="L561" i="2"/>
  <c r="M561" i="2"/>
  <c r="T560" i="2"/>
  <c r="T559" i="2"/>
  <c r="T546" i="2"/>
  <c r="T545" i="2"/>
  <c r="T547" i="2"/>
  <c r="K19" i="3"/>
  <c r="T550" i="2"/>
  <c r="T549" i="2"/>
  <c r="T556" i="2"/>
  <c r="T542" i="2"/>
  <c r="T537" i="2"/>
  <c r="T548" i="2"/>
  <c r="T543" i="2"/>
  <c r="T540" i="2"/>
  <c r="T538" i="2"/>
  <c r="T544" i="2"/>
  <c r="T541" i="2"/>
  <c r="T557" i="2"/>
  <c r="T558" i="2"/>
  <c r="T555" i="2"/>
  <c r="T539" i="2"/>
  <c r="Q19" i="3"/>
  <c r="F19" i="3"/>
  <c r="J534" i="2"/>
  <c r="L534" i="2"/>
  <c r="M534" i="2"/>
  <c r="T535" i="2"/>
  <c r="T536" i="2"/>
  <c r="T534" i="2"/>
  <c r="Q336" i="3" s="1"/>
  <c r="T532" i="2"/>
  <c r="T533" i="2"/>
  <c r="T531" i="2"/>
  <c r="L20" i="3"/>
  <c r="J530" i="2"/>
  <c r="L530" i="2"/>
  <c r="M530" i="2"/>
  <c r="T530" i="2"/>
  <c r="T879" i="2"/>
  <c r="I20" i="3"/>
  <c r="I19" i="3"/>
  <c r="G20" i="3"/>
  <c r="M381" i="2"/>
  <c r="T366" i="2"/>
  <c r="L19" i="3"/>
  <c r="H20" i="3"/>
  <c r="E19" i="3"/>
  <c r="K20" i="3"/>
  <c r="J381" i="2"/>
  <c r="T512" i="2"/>
  <c r="T498" i="2"/>
  <c r="T740" i="2"/>
  <c r="T650" i="2"/>
  <c r="J19" i="3"/>
  <c r="F20" i="3"/>
  <c r="Q20" i="3"/>
  <c r="E20" i="3"/>
  <c r="G19" i="3"/>
  <c r="T362" i="2"/>
  <c r="J20" i="3"/>
  <c r="H19" i="3"/>
  <c r="T346" i="2"/>
  <c r="T380" i="2"/>
  <c r="T505" i="2"/>
  <c r="T352" i="2"/>
  <c r="T378" i="2"/>
  <c r="T360" i="2"/>
  <c r="T381" i="2"/>
  <c r="T497" i="2"/>
  <c r="T850" i="2"/>
  <c r="T851" i="2"/>
  <c r="T880" i="2"/>
  <c r="T875" i="2"/>
  <c r="T882" i="2"/>
  <c r="T881" i="2"/>
  <c r="T883" i="2"/>
  <c r="T876" i="2"/>
  <c r="T652" i="2"/>
  <c r="T651" i="2"/>
  <c r="T653" i="2"/>
  <c r="T432" i="2"/>
  <c r="T433" i="2"/>
  <c r="T431" i="2"/>
  <c r="T470" i="2"/>
  <c r="T469" i="2"/>
  <c r="T445" i="2"/>
  <c r="T446" i="2"/>
  <c r="T444" i="2"/>
  <c r="T466" i="2"/>
  <c r="T464" i="2"/>
  <c r="T467" i="2"/>
  <c r="T463" i="2"/>
  <c r="T465" i="2"/>
  <c r="T477" i="2"/>
  <c r="T478" i="2"/>
  <c r="T475" i="2"/>
  <c r="T476" i="2"/>
  <c r="T812" i="2"/>
  <c r="T811" i="2"/>
  <c r="T813" i="2"/>
  <c r="T810" i="2"/>
  <c r="T833" i="2"/>
  <c r="T831" i="2"/>
  <c r="T832" i="2"/>
  <c r="T863" i="2"/>
  <c r="T862" i="2"/>
  <c r="T864" i="2"/>
  <c r="T865" i="2"/>
  <c r="T866" i="2"/>
  <c r="T753" i="2"/>
  <c r="T756" i="2"/>
  <c r="T760" i="2"/>
  <c r="T757" i="2"/>
  <c r="T761" i="2"/>
  <c r="T754" i="2"/>
  <c r="T755" i="2"/>
  <c r="T751" i="2"/>
  <c r="T758" i="2"/>
  <c r="T759" i="2"/>
  <c r="T752" i="2"/>
  <c r="T750" i="2"/>
  <c r="T707" i="2"/>
  <c r="T695" i="2"/>
  <c r="T696" i="2"/>
  <c r="T672" i="2"/>
  <c r="T668" i="2"/>
  <c r="T659" i="2"/>
  <c r="T663" i="2"/>
  <c r="T661" i="2"/>
  <c r="T671" i="2"/>
  <c r="T656" i="2"/>
  <c r="T666" i="2"/>
  <c r="T657" i="2"/>
  <c r="T655" i="2"/>
  <c r="T669" i="2"/>
  <c r="T667" i="2"/>
  <c r="T662" i="2"/>
  <c r="T664" i="2"/>
  <c r="T670" i="2"/>
  <c r="T665" i="2"/>
  <c r="T658" i="2"/>
  <c r="T660" i="2"/>
  <c r="T624" i="2"/>
  <c r="T621" i="2"/>
  <c r="T622" i="2"/>
  <c r="T623" i="2"/>
  <c r="T620" i="2"/>
  <c r="T736" i="2"/>
  <c r="T737" i="2"/>
  <c r="T734" i="2"/>
  <c r="T735" i="2"/>
  <c r="T738" i="2"/>
  <c r="T358" i="2"/>
  <c r="T354" i="2"/>
  <c r="T355" i="2"/>
  <c r="T356" i="2"/>
  <c r="T353" i="2"/>
  <c r="T357" i="2"/>
  <c r="T364" i="2"/>
  <c r="T372" i="2"/>
  <c r="T370" i="2"/>
  <c r="T368" i="2"/>
  <c r="T371" i="2"/>
  <c r="T369" i="2"/>
  <c r="T379" i="2"/>
  <c r="T513" i="2"/>
  <c r="T516" i="2"/>
  <c r="T515" i="2"/>
  <c r="T514" i="2"/>
  <c r="T509" i="2"/>
  <c r="T510" i="2"/>
  <c r="T508" i="2"/>
  <c r="T511" i="2"/>
  <c r="T507" i="2"/>
  <c r="T506" i="2"/>
  <c r="T503" i="2"/>
  <c r="T499" i="2"/>
  <c r="T502" i="2"/>
  <c r="T500" i="2"/>
  <c r="T504" i="2"/>
  <c r="T501" i="2"/>
  <c r="T770" i="2"/>
  <c r="T766" i="2"/>
  <c r="T765" i="2"/>
  <c r="T769" i="2"/>
  <c r="T768" i="2"/>
  <c r="T767" i="2"/>
  <c r="T764" i="2"/>
  <c r="T839" i="2"/>
  <c r="T840" i="2"/>
  <c r="T731" i="2"/>
  <c r="T725" i="2"/>
  <c r="T726" i="2"/>
  <c r="T730" i="2"/>
  <c r="T728" i="2"/>
  <c r="T732" i="2"/>
  <c r="T729" i="2"/>
  <c r="T727" i="2"/>
  <c r="T615" i="2"/>
  <c r="T616" i="2"/>
  <c r="T376" i="2"/>
  <c r="T374" i="2"/>
  <c r="T375" i="2"/>
  <c r="T377" i="2"/>
  <c r="T518" i="2"/>
  <c r="T523" i="2"/>
  <c r="T526" i="2"/>
  <c r="T529" i="2"/>
  <c r="T521" i="2"/>
  <c r="T524" i="2"/>
  <c r="T527" i="2"/>
  <c r="T519" i="2"/>
  <c r="T522" i="2"/>
  <c r="T525" i="2"/>
  <c r="T528" i="2"/>
  <c r="T520" i="2"/>
  <c r="T483" i="2"/>
  <c r="T482" i="2"/>
  <c r="T492" i="2"/>
  <c r="T489" i="2"/>
  <c r="T488" i="2"/>
  <c r="T487" i="2"/>
  <c r="T490" i="2"/>
  <c r="T485" i="2"/>
  <c r="T484" i="2"/>
  <c r="T486" i="2"/>
  <c r="T481" i="2"/>
  <c r="T491" i="2"/>
  <c r="T808" i="2"/>
  <c r="T805" i="2"/>
  <c r="T806" i="2"/>
  <c r="T807" i="2"/>
  <c r="T822" i="2"/>
  <c r="T815" i="2"/>
  <c r="T820" i="2"/>
  <c r="T818" i="2"/>
  <c r="T819" i="2"/>
  <c r="T821" i="2"/>
  <c r="T816" i="2"/>
  <c r="T817" i="2"/>
  <c r="T778" i="2"/>
  <c r="T772" i="2"/>
  <c r="T775" i="2"/>
  <c r="T785" i="2"/>
  <c r="T782" i="2"/>
  <c r="T776" i="2"/>
  <c r="T777" i="2"/>
  <c r="T781" i="2"/>
  <c r="T787" i="2"/>
  <c r="T784" i="2"/>
  <c r="T780" i="2"/>
  <c r="T774" i="2"/>
  <c r="T786" i="2"/>
  <c r="T773" i="2"/>
  <c r="T783" i="2"/>
  <c r="T779" i="2"/>
  <c r="T788" i="2"/>
  <c r="T792" i="2"/>
  <c r="T789" i="2"/>
  <c r="T791" i="2"/>
  <c r="T794" i="2"/>
  <c r="T793" i="2"/>
  <c r="T790" i="2"/>
  <c r="T796" i="2"/>
  <c r="T802" i="2"/>
  <c r="T800" i="2"/>
  <c r="T801" i="2"/>
  <c r="T825" i="2"/>
  <c r="T826" i="2"/>
  <c r="T828" i="2"/>
  <c r="T829" i="2"/>
  <c r="T827" i="2"/>
  <c r="T837" i="2"/>
  <c r="T836" i="2"/>
  <c r="T858" i="2"/>
  <c r="T857" i="2"/>
  <c r="T859" i="2"/>
  <c r="T860" i="2"/>
  <c r="T719" i="2"/>
  <c r="T721" i="2"/>
  <c r="T716" i="2"/>
  <c r="T713" i="2"/>
  <c r="T715" i="2"/>
  <c r="T720" i="2"/>
  <c r="T712" i="2"/>
  <c r="T723" i="2"/>
  <c r="T718" i="2"/>
  <c r="T714" i="2"/>
  <c r="T717" i="2"/>
  <c r="T722" i="2"/>
  <c r="T711" i="2"/>
  <c r="T643" i="2"/>
  <c r="T636" i="2"/>
  <c r="T638" i="2"/>
  <c r="T641" i="2"/>
  <c r="T644" i="2"/>
  <c r="T635" i="2"/>
  <c r="T639" i="2"/>
  <c r="T642" i="2"/>
  <c r="T637" i="2"/>
  <c r="T634" i="2"/>
  <c r="T640" i="2"/>
  <c r="T330" i="2"/>
  <c r="T326" i="2"/>
  <c r="T338" i="2"/>
  <c r="T328" i="2"/>
  <c r="T325" i="2"/>
  <c r="T322" i="2"/>
  <c r="T318" i="2"/>
  <c r="T313" i="2"/>
  <c r="T334" i="2"/>
  <c r="T332" i="2"/>
  <c r="T327" i="2"/>
  <c r="T335" i="2"/>
  <c r="T323" i="2"/>
  <c r="T317" i="2"/>
  <c r="T316" i="2"/>
  <c r="T329" i="2"/>
  <c r="T339" i="2"/>
  <c r="T337" i="2"/>
  <c r="T315" i="2"/>
  <c r="T311" i="2"/>
  <c r="T319" i="2"/>
  <c r="T314" i="2"/>
  <c r="T333" i="2"/>
  <c r="T331" i="2"/>
  <c r="T336" i="2"/>
  <c r="T324" i="2"/>
  <c r="T321" i="2"/>
  <c r="T320" i="2"/>
  <c r="T312" i="2"/>
  <c r="T351" i="2"/>
  <c r="T349" i="2"/>
  <c r="T350" i="2"/>
  <c r="T347" i="2"/>
  <c r="T348" i="2"/>
  <c r="T341" i="2"/>
  <c r="T460" i="2"/>
  <c r="T461" i="2"/>
  <c r="T458" i="2"/>
  <c r="T459" i="2"/>
  <c r="T436" i="2"/>
  <c r="T437" i="2"/>
  <c r="T435" i="2"/>
  <c r="T613" i="2"/>
  <c r="T603" i="2"/>
  <c r="T605" i="2"/>
  <c r="T609" i="2"/>
  <c r="T612" i="2"/>
  <c r="T608" i="2"/>
  <c r="T610" i="2"/>
  <c r="T607" i="2"/>
  <c r="T604" i="2"/>
  <c r="T606" i="2"/>
  <c r="T611" i="2"/>
  <c r="T494" i="2"/>
  <c r="T495" i="2"/>
  <c r="T496" i="2"/>
  <c r="L855" i="2"/>
  <c r="L852" i="2"/>
  <c r="L861" i="2"/>
  <c r="J498" i="2"/>
  <c r="M498" i="2"/>
  <c r="L498" i="2"/>
  <c r="J493" i="2"/>
  <c r="M493" i="2"/>
  <c r="L493" i="2"/>
  <c r="T493" i="2"/>
  <c r="J480" i="2"/>
  <c r="M480" i="2"/>
  <c r="L480" i="2"/>
  <c r="T480" i="2"/>
  <c r="J479" i="2"/>
  <c r="M479" i="2"/>
  <c r="L479" i="2"/>
  <c r="T479" i="2"/>
  <c r="J512" i="2"/>
  <c r="M512" i="2"/>
  <c r="L512" i="2"/>
  <c r="J505" i="2"/>
  <c r="M505" i="2"/>
  <c r="L505" i="2"/>
  <c r="J517" i="2"/>
  <c r="L517" i="2"/>
  <c r="M517" i="2"/>
  <c r="T517" i="2"/>
  <c r="J462" i="2"/>
  <c r="T462" i="2"/>
  <c r="L462" i="2"/>
  <c r="M462" i="2"/>
  <c r="J468" i="2"/>
  <c r="T468" i="2"/>
  <c r="M468" i="2"/>
  <c r="L468" i="2"/>
  <c r="J457" i="2"/>
  <c r="T457" i="2"/>
  <c r="Q277" i="3" s="1"/>
  <c r="L457" i="2"/>
  <c r="M457" i="2"/>
  <c r="J456" i="2"/>
  <c r="M456" i="2"/>
  <c r="L456" i="2"/>
  <c r="T456" i="2"/>
  <c r="L366" i="2"/>
  <c r="J434" i="2"/>
  <c r="M434" i="2"/>
  <c r="L434" i="2"/>
  <c r="T434" i="2"/>
  <c r="J366" i="2"/>
  <c r="M366" i="2"/>
  <c r="J380" i="2"/>
  <c r="L380" i="2"/>
  <c r="M380" i="2"/>
  <c r="J378" i="2"/>
  <c r="M378" i="2"/>
  <c r="L378" i="2"/>
  <c r="J373" i="2"/>
  <c r="L373" i="2"/>
  <c r="M373" i="2"/>
  <c r="T373" i="2"/>
  <c r="L276" i="3" s="1"/>
  <c r="M343" i="2"/>
  <c r="L345" i="2"/>
  <c r="T343" i="2"/>
  <c r="M345" i="2"/>
  <c r="J367" i="2"/>
  <c r="L367" i="2"/>
  <c r="T367" i="2"/>
  <c r="M367" i="2"/>
  <c r="J363" i="2"/>
  <c r="T363" i="2"/>
  <c r="L363" i="2"/>
  <c r="M363" i="2"/>
  <c r="J365" i="2"/>
  <c r="T365" i="2"/>
  <c r="M365" i="2"/>
  <c r="L365" i="2"/>
  <c r="T345" i="2"/>
  <c r="J360" i="2"/>
  <c r="L360" i="2"/>
  <c r="M360" i="2"/>
  <c r="J359" i="2"/>
  <c r="T359" i="2"/>
  <c r="L359" i="2"/>
  <c r="M359" i="2"/>
  <c r="L343" i="2"/>
  <c r="J352" i="2"/>
  <c r="L352" i="2"/>
  <c r="M352" i="2"/>
  <c r="L849" i="2"/>
  <c r="L856" i="2"/>
  <c r="L853" i="2"/>
  <c r="J346" i="2"/>
  <c r="M346" i="2"/>
  <c r="L346" i="2"/>
  <c r="J344" i="2"/>
  <c r="T344" i="2"/>
  <c r="L344" i="2"/>
  <c r="M344" i="2"/>
  <c r="J342" i="2"/>
  <c r="T342" i="2"/>
  <c r="M342" i="2"/>
  <c r="L342" i="2"/>
  <c r="J340" i="2"/>
  <c r="T340" i="2"/>
  <c r="M340" i="2"/>
  <c r="L340" i="2"/>
  <c r="J733" i="2"/>
  <c r="T733" i="2"/>
  <c r="L290" i="3" s="1"/>
  <c r="L733" i="2"/>
  <c r="M733" i="2"/>
  <c r="L254" i="3"/>
  <c r="J650" i="2"/>
  <c r="M650" i="2"/>
  <c r="L650" i="2"/>
  <c r="J619" i="2"/>
  <c r="M619" i="2"/>
  <c r="L619" i="2"/>
  <c r="T619" i="2"/>
  <c r="J264" i="3" s="1"/>
  <c r="O258" i="3"/>
  <c r="J618" i="2"/>
  <c r="L618" i="2"/>
  <c r="M618" i="2"/>
  <c r="J361" i="2"/>
  <c r="M361" i="2"/>
  <c r="L361" i="2"/>
  <c r="J362" i="2"/>
  <c r="L362" i="2"/>
  <c r="M362" i="2"/>
  <c r="T870" i="2"/>
  <c r="J617" i="2"/>
  <c r="T617" i="2"/>
  <c r="L617" i="2"/>
  <c r="M617" i="2"/>
  <c r="J614" i="2"/>
  <c r="M614" i="2"/>
  <c r="T614" i="2"/>
  <c r="L614" i="2"/>
  <c r="T618" i="2"/>
  <c r="J710" i="2"/>
  <c r="M710" i="2"/>
  <c r="L710" i="2"/>
  <c r="J709" i="2"/>
  <c r="M709" i="2"/>
  <c r="J708" i="2"/>
  <c r="L708" i="2"/>
  <c r="M708" i="2"/>
  <c r="L654" i="2"/>
  <c r="M654" i="2"/>
  <c r="T654" i="2"/>
  <c r="H255" i="3" s="1"/>
  <c r="J654" i="2"/>
  <c r="J724" i="2"/>
  <c r="M724" i="2"/>
  <c r="L724" i="2"/>
  <c r="T724" i="2"/>
  <c r="T710" i="2"/>
  <c r="U267" i="3" s="1"/>
  <c r="L698" i="2"/>
  <c r="T746" i="2"/>
  <c r="J746" i="2"/>
  <c r="J740" i="2"/>
  <c r="M740" i="2"/>
  <c r="L740" i="2"/>
  <c r="J739" i="2"/>
  <c r="M739" i="2"/>
  <c r="L739" i="2"/>
  <c r="T739" i="2"/>
  <c r="J705" i="2"/>
  <c r="T705" i="2"/>
  <c r="L705" i="2"/>
  <c r="M705" i="2"/>
  <c r="M704" i="2"/>
  <c r="J704" i="2"/>
  <c r="L704" i="2"/>
  <c r="T704" i="2"/>
  <c r="L703" i="2"/>
  <c r="M703" i="2"/>
  <c r="J703" i="2"/>
  <c r="T703" i="2"/>
  <c r="T706" i="2"/>
  <c r="J706" i="2"/>
  <c r="L706" i="2"/>
  <c r="M706" i="2"/>
  <c r="T708" i="2"/>
  <c r="J702" i="2"/>
  <c r="L702" i="2"/>
  <c r="M702" i="2"/>
  <c r="M748" i="2"/>
  <c r="M746" i="2"/>
  <c r="L748" i="2"/>
  <c r="J741" i="2"/>
  <c r="L741" i="2"/>
  <c r="M741" i="2"/>
  <c r="T741" i="2"/>
  <c r="M744" i="2"/>
  <c r="J744" i="2"/>
  <c r="L744" i="2"/>
  <c r="T744" i="2"/>
  <c r="M743" i="2"/>
  <c r="L743" i="2"/>
  <c r="J743" i="2"/>
  <c r="T743" i="2"/>
  <c r="L742" i="2"/>
  <c r="J742" i="2"/>
  <c r="M742" i="2"/>
  <c r="T742" i="2"/>
  <c r="T747" i="2"/>
  <c r="J747" i="2"/>
  <c r="L747" i="2"/>
  <c r="M747" i="2"/>
  <c r="T745" i="2"/>
  <c r="L745" i="2"/>
  <c r="J745" i="2"/>
  <c r="M745" i="2"/>
  <c r="J762" i="2"/>
  <c r="L762" i="2"/>
  <c r="M762" i="2"/>
  <c r="J879" i="2"/>
  <c r="L795" i="2"/>
  <c r="M879" i="2"/>
  <c r="L879" i="2"/>
  <c r="J749" i="2"/>
  <c r="M749" i="2"/>
  <c r="L749" i="2"/>
  <c r="T749" i="2"/>
  <c r="T803" i="2"/>
  <c r="L803" i="2"/>
  <c r="T804" i="2"/>
  <c r="L804" i="2"/>
  <c r="M867" i="2"/>
  <c r="L867" i="2"/>
  <c r="M873" i="2"/>
  <c r="L873" i="2"/>
  <c r="J809" i="2"/>
  <c r="L809" i="2"/>
  <c r="M869" i="2"/>
  <c r="L869" i="2"/>
  <c r="M870" i="2"/>
  <c r="L870" i="2"/>
  <c r="M872" i="2"/>
  <c r="L872" i="2"/>
  <c r="M874" i="2"/>
  <c r="L874" i="2"/>
  <c r="M871" i="2"/>
  <c r="L871" i="2"/>
  <c r="J799" i="2"/>
  <c r="L799" i="2"/>
  <c r="M868" i="2"/>
  <c r="L868" i="2"/>
  <c r="T762" i="2"/>
  <c r="J884" i="2"/>
  <c r="T884" i="2"/>
  <c r="H42" i="8" s="1"/>
  <c r="M884" i="2"/>
  <c r="M877" i="2"/>
  <c r="M878" i="2"/>
  <c r="J878" i="2"/>
  <c r="T878" i="2"/>
  <c r="J877" i="2"/>
  <c r="T877" i="2"/>
  <c r="J873" i="2"/>
  <c r="T873" i="2"/>
  <c r="J872" i="2"/>
  <c r="T872" i="2"/>
  <c r="J874" i="2"/>
  <c r="T874" i="2"/>
  <c r="J871" i="2"/>
  <c r="T871" i="2"/>
  <c r="J870" i="2"/>
  <c r="T869" i="2"/>
  <c r="J869" i="2"/>
  <c r="J868" i="2"/>
  <c r="T868" i="2"/>
  <c r="M804" i="2"/>
  <c r="T867" i="2"/>
  <c r="T861" i="2"/>
  <c r="J867" i="2"/>
  <c r="J856" i="2"/>
  <c r="T856" i="2"/>
  <c r="M856" i="2"/>
  <c r="J804" i="2"/>
  <c r="M861" i="2"/>
  <c r="J861" i="2"/>
  <c r="J855" i="2"/>
  <c r="T855" i="2"/>
  <c r="M855" i="2"/>
  <c r="J854" i="2"/>
  <c r="M854" i="2"/>
  <c r="T854" i="2"/>
  <c r="J852" i="2"/>
  <c r="T852" i="2"/>
  <c r="M852" i="2"/>
  <c r="M853" i="2"/>
  <c r="T853" i="2"/>
  <c r="J853" i="2"/>
  <c r="J849" i="2"/>
  <c r="M849" i="2"/>
  <c r="T849" i="2"/>
  <c r="T848" i="2"/>
  <c r="J838" i="2"/>
  <c r="T838" i="2"/>
  <c r="M838" i="2"/>
  <c r="J835" i="2"/>
  <c r="M835" i="2"/>
  <c r="T835" i="2"/>
  <c r="J830" i="2"/>
  <c r="M830" i="2"/>
  <c r="T830" i="2"/>
  <c r="J834" i="2"/>
  <c r="M834" i="2"/>
  <c r="M824" i="2"/>
  <c r="J824" i="2"/>
  <c r="T824" i="2"/>
  <c r="J823" i="2"/>
  <c r="T823" i="2"/>
  <c r="M823" i="2"/>
  <c r="J814" i="2"/>
  <c r="M814" i="2"/>
  <c r="T814" i="2"/>
  <c r="T809" i="2"/>
  <c r="M809" i="2"/>
  <c r="M803" i="2"/>
  <c r="J803" i="2"/>
  <c r="T799" i="2"/>
  <c r="M799" i="2"/>
  <c r="T797" i="2"/>
  <c r="M797" i="2"/>
  <c r="J797" i="2"/>
  <c r="M798" i="2"/>
  <c r="J798" i="2"/>
  <c r="J763" i="2"/>
  <c r="T763" i="2"/>
  <c r="M763" i="2"/>
  <c r="J771" i="2"/>
  <c r="M771" i="2"/>
  <c r="T795" i="2"/>
  <c r="J795" i="2"/>
  <c r="M795" i="2"/>
  <c r="T771" i="2"/>
  <c r="W12" i="3"/>
  <c r="M885" i="2"/>
  <c r="Q12" i="3"/>
  <c r="Y12" i="3"/>
  <c r="S12" i="3"/>
  <c r="U12" i="3"/>
  <c r="O12" i="3"/>
  <c r="I12" i="3"/>
  <c r="E12" i="3"/>
  <c r="H12" i="3"/>
  <c r="L12" i="3"/>
  <c r="K12" i="3"/>
  <c r="G12" i="3"/>
  <c r="J12" i="3"/>
  <c r="F12" i="3"/>
  <c r="R355" i="3"/>
  <c r="S887" i="2"/>
  <c r="E247" i="3"/>
  <c r="D37" i="8" a="1"/>
  <c r="D37" i="8" s="1"/>
  <c r="F37" i="8"/>
  <c r="H41" i="8"/>
  <c r="G355" i="3"/>
  <c r="P355" i="3"/>
  <c r="N355" i="3"/>
  <c r="E355" i="3"/>
  <c r="I355" i="3"/>
  <c r="D41" i="8"/>
  <c r="F41" i="8"/>
  <c r="K355" i="3"/>
  <c r="O6" i="3" l="1"/>
  <c r="Q283" i="3"/>
  <c r="Q284" i="3"/>
  <c r="L264" i="3"/>
  <c r="Q264" i="3"/>
  <c r="Q281" i="3"/>
  <c r="L280" i="3"/>
  <c r="Q280" i="3"/>
  <c r="L281" i="3"/>
  <c r="L275" i="3"/>
  <c r="L262" i="3"/>
  <c r="H256" i="3"/>
  <c r="L256" i="3"/>
  <c r="L308" i="3"/>
  <c r="L277" i="3"/>
  <c r="J255" i="3"/>
  <c r="J263" i="3"/>
  <c r="N137" i="3" a="1"/>
  <c r="N137" i="3" s="1"/>
  <c r="H137" i="3"/>
  <c r="J137" i="3"/>
  <c r="I137" i="3"/>
  <c r="L137" i="3"/>
  <c r="F259" i="3"/>
  <c r="F137" i="3"/>
  <c r="K137" i="3"/>
  <c r="G137" i="3"/>
  <c r="L265" i="3"/>
  <c r="G14" i="3"/>
  <c r="O255" i="3"/>
  <c r="H35" i="8"/>
  <c r="N231" i="3" a="1"/>
  <c r="N231" i="3" s="1"/>
  <c r="N147" i="3" a="1"/>
  <c r="N147" i="3" s="1"/>
  <c r="N133" i="3" a="1"/>
  <c r="N133" i="3" s="1"/>
  <c r="N149" i="3" a="1"/>
  <c r="N149" i="3" s="1"/>
  <c r="N193" i="3" a="1"/>
  <c r="N193" i="3" s="1"/>
  <c r="N138" i="3" a="1"/>
  <c r="N138" i="3" s="1"/>
  <c r="N214" i="3" a="1"/>
  <c r="N214" i="3" s="1"/>
  <c r="N132" i="3" a="1"/>
  <c r="N132" i="3" s="1"/>
  <c r="N177" i="3" a="1"/>
  <c r="N177" i="3" s="1"/>
  <c r="N153" i="3" a="1"/>
  <c r="N153" i="3" s="1"/>
  <c r="N161" i="3" a="1"/>
  <c r="N161" i="3" s="1"/>
  <c r="O134" i="3" a="1"/>
  <c r="O134" i="3" s="1"/>
  <c r="N155" i="3" a="1"/>
  <c r="N155" i="3" s="1"/>
  <c r="N154" i="3" a="1"/>
  <c r="N154" i="3" s="1"/>
  <c r="N134" i="3" a="1"/>
  <c r="N134" i="3" s="1"/>
  <c r="N205" i="3" a="1"/>
  <c r="N205" i="3" s="1"/>
  <c r="O205" i="3" a="1"/>
  <c r="O205" i="3" s="1"/>
  <c r="N143" i="3" a="1"/>
  <c r="N143" i="3" s="1"/>
  <c r="N162" i="3" a="1"/>
  <c r="N162" i="3" s="1"/>
  <c r="N145" i="3" a="1"/>
  <c r="N145" i="3" s="1"/>
  <c r="O145" i="3" a="1"/>
  <c r="O145" i="3" s="1"/>
  <c r="N142" i="3" a="1"/>
  <c r="N142" i="3" s="1"/>
  <c r="O168" i="3" a="1"/>
  <c r="O168" i="3" s="1"/>
  <c r="N168" i="3" a="1"/>
  <c r="N168" i="3" s="1"/>
  <c r="N152" i="3" a="1"/>
  <c r="N152" i="3" s="1"/>
  <c r="N159" i="3" a="1"/>
  <c r="N159" i="3" s="1"/>
  <c r="N140" i="3" a="1"/>
  <c r="N140" i="3" s="1"/>
  <c r="N141" i="3" a="1"/>
  <c r="N141" i="3" s="1"/>
  <c r="N160" i="3" a="1"/>
  <c r="N160" i="3" s="1"/>
  <c r="N158" i="3" a="1"/>
  <c r="N158" i="3" s="1"/>
  <c r="N131" i="3" a="1"/>
  <c r="N131" i="3" s="1"/>
  <c r="F256" i="3"/>
  <c r="O129" i="3" a="1"/>
  <c r="O129" i="3" s="1"/>
  <c r="K131" i="3"/>
  <c r="Q255" i="3"/>
  <c r="H265" i="3"/>
  <c r="F269" i="3"/>
  <c r="F271" i="3"/>
  <c r="H290" i="3"/>
  <c r="J353" i="3"/>
  <c r="F276" i="3"/>
  <c r="H15" i="3"/>
  <c r="H281" i="3"/>
  <c r="F274" i="3"/>
  <c r="L15" i="3"/>
  <c r="Y6" i="3"/>
  <c r="W6" i="3"/>
  <c r="U6" i="3"/>
  <c r="S6" i="3"/>
  <c r="Q6" i="3"/>
  <c r="S277" i="3"/>
  <c r="U277" i="3"/>
  <c r="U355" i="3" s="1"/>
  <c r="F243" i="3"/>
  <c r="S267" i="3"/>
  <c r="H275" i="3"/>
  <c r="H308" i="3"/>
  <c r="O263" i="3"/>
  <c r="F299" i="3"/>
  <c r="Q299" i="3"/>
  <c r="F282" i="3"/>
  <c r="F280" i="3"/>
  <c r="J276" i="3"/>
  <c r="H276" i="3"/>
  <c r="H277" i="3"/>
  <c r="F327" i="3"/>
  <c r="H262" i="3"/>
  <c r="F267" i="3"/>
  <c r="F265" i="3"/>
  <c r="O260" i="3"/>
  <c r="F260" i="3"/>
  <c r="F277" i="3"/>
  <c r="F262" i="3"/>
  <c r="O281" i="3"/>
  <c r="F281" i="3"/>
  <c r="O284" i="3"/>
  <c r="F284" i="3"/>
  <c r="F308" i="3"/>
  <c r="O264" i="3"/>
  <c r="F264" i="3"/>
  <c r="O280" i="3"/>
  <c r="F120" i="3"/>
  <c r="F6" i="3"/>
  <c r="J281" i="3"/>
  <c r="S15" i="3"/>
  <c r="G15" i="3"/>
  <c r="J15" i="3"/>
  <c r="Q15" i="3"/>
  <c r="K15" i="3"/>
  <c r="I15" i="3"/>
  <c r="E15" i="3"/>
  <c r="F15" i="3"/>
  <c r="F5" i="3" s="1"/>
  <c r="G161" i="3"/>
  <c r="J161" i="3"/>
  <c r="I161" i="3"/>
  <c r="L283" i="3"/>
  <c r="H161" i="3"/>
  <c r="F161" i="3"/>
  <c r="K161" i="3"/>
  <c r="L161" i="3"/>
  <c r="L284" i="3"/>
  <c r="J153" i="3"/>
  <c r="H153" i="3"/>
  <c r="G153" i="3"/>
  <c r="F153" i="3"/>
  <c r="I153" i="3"/>
  <c r="J275" i="3"/>
  <c r="L153" i="3"/>
  <c r="K153" i="3"/>
  <c r="F35" i="8"/>
  <c r="J162" i="3"/>
  <c r="F162" i="3"/>
  <c r="L162" i="3"/>
  <c r="H162" i="3"/>
  <c r="G162" i="3"/>
  <c r="I162" i="3"/>
  <c r="K162" i="3"/>
  <c r="Q353" i="3"/>
  <c r="F231" i="3"/>
  <c r="I231" i="3"/>
  <c r="G231" i="3"/>
  <c r="K231" i="3"/>
  <c r="J231" i="3"/>
  <c r="H231" i="3"/>
  <c r="L231" i="3"/>
  <c r="O282" i="3"/>
  <c r="I160" i="3"/>
  <c r="H160" i="3"/>
  <c r="L160" i="3"/>
  <c r="K160" i="3"/>
  <c r="G160" i="3"/>
  <c r="J160" i="3"/>
  <c r="F160" i="3"/>
  <c r="F32" i="8"/>
  <c r="F159" i="3"/>
  <c r="K159" i="3"/>
  <c r="I159" i="3"/>
  <c r="G159" i="3"/>
  <c r="L159" i="3"/>
  <c r="J159" i="3"/>
  <c r="H159" i="3"/>
  <c r="G158" i="3"/>
  <c r="L158" i="3"/>
  <c r="H158" i="3"/>
  <c r="J158" i="3"/>
  <c r="I158" i="3"/>
  <c r="F158" i="3"/>
  <c r="K158" i="3"/>
  <c r="F178" i="3"/>
  <c r="L178" i="3"/>
  <c r="G178" i="3"/>
  <c r="I178" i="3"/>
  <c r="H178" i="3"/>
  <c r="J178" i="3"/>
  <c r="K178" i="3"/>
  <c r="F179" i="3"/>
  <c r="H179" i="3"/>
  <c r="G179" i="3"/>
  <c r="I179" i="3"/>
  <c r="L179" i="3"/>
  <c r="K179" i="3"/>
  <c r="J179" i="3"/>
  <c r="G182" i="3"/>
  <c r="I182" i="3"/>
  <c r="H182" i="3"/>
  <c r="J182" i="3"/>
  <c r="L182" i="3"/>
  <c r="K182" i="3"/>
  <c r="F182" i="3"/>
  <c r="F180" i="3"/>
  <c r="H180" i="3"/>
  <c r="I180" i="3"/>
  <c r="L180" i="3"/>
  <c r="G180" i="3"/>
  <c r="J180" i="3"/>
  <c r="K180" i="3"/>
  <c r="G181" i="3"/>
  <c r="H181" i="3"/>
  <c r="J181" i="3"/>
  <c r="K181" i="3"/>
  <c r="F181" i="3"/>
  <c r="I181" i="3"/>
  <c r="L181" i="3"/>
  <c r="I177" i="3"/>
  <c r="L177" i="3"/>
  <c r="J177" i="3"/>
  <c r="F177" i="3"/>
  <c r="H177" i="3"/>
  <c r="G177" i="3"/>
  <c r="K177" i="3"/>
  <c r="F149" i="3"/>
  <c r="O271" i="3"/>
  <c r="L149" i="3"/>
  <c r="K149" i="3"/>
  <c r="H149" i="3"/>
  <c r="G149" i="3"/>
  <c r="I149" i="3"/>
  <c r="J149" i="3"/>
  <c r="F121" i="3"/>
  <c r="O269" i="3"/>
  <c r="I147" i="3"/>
  <c r="L147" i="3"/>
  <c r="J147" i="3"/>
  <c r="K147" i="3"/>
  <c r="F147" i="3"/>
  <c r="H147" i="3"/>
  <c r="G147" i="3"/>
  <c r="C19" i="3"/>
  <c r="L336" i="3"/>
  <c r="J214" i="3"/>
  <c r="G214" i="3"/>
  <c r="F214" i="3"/>
  <c r="K214" i="3"/>
  <c r="I214" i="3"/>
  <c r="H214" i="3"/>
  <c r="L214" i="3"/>
  <c r="C102" i="3"/>
  <c r="C106" i="3"/>
  <c r="J262" i="3"/>
  <c r="J138" i="3"/>
  <c r="C81" i="3"/>
  <c r="C42" i="3"/>
  <c r="C18" i="3"/>
  <c r="C62" i="3"/>
  <c r="C35" i="3"/>
  <c r="C45" i="3"/>
  <c r="L138" i="3"/>
  <c r="C113" i="3"/>
  <c r="C22" i="3"/>
  <c r="K138" i="3"/>
  <c r="G138" i="3"/>
  <c r="C61" i="3"/>
  <c r="C88" i="3"/>
  <c r="C80" i="3"/>
  <c r="C117" i="3"/>
  <c r="C20" i="3"/>
  <c r="C44" i="3"/>
  <c r="C55" i="3"/>
  <c r="C59" i="3"/>
  <c r="C86" i="3"/>
  <c r="C97" i="3"/>
  <c r="C76" i="3"/>
  <c r="C57" i="3"/>
  <c r="C36" i="3"/>
  <c r="C115" i="3"/>
  <c r="C105" i="3"/>
  <c r="C72" i="3"/>
  <c r="C51" i="3"/>
  <c r="C31" i="3"/>
  <c r="C95" i="3"/>
  <c r="C75" i="3"/>
  <c r="C79" i="3"/>
  <c r="C34" i="3"/>
  <c r="C111" i="3"/>
  <c r="C109" i="3"/>
  <c r="C78" i="3"/>
  <c r="C58" i="3"/>
  <c r="C41" i="3"/>
  <c r="C21" i="3"/>
  <c r="C118" i="3"/>
  <c r="C93" i="3"/>
  <c r="C73" i="3"/>
  <c r="C52" i="3"/>
  <c r="C32" i="3"/>
  <c r="C107" i="3"/>
  <c r="C96" i="3"/>
  <c r="C68" i="3"/>
  <c r="C47" i="3"/>
  <c r="C23" i="3"/>
  <c r="C91" i="3"/>
  <c r="C71" i="3"/>
  <c r="C50" i="3"/>
  <c r="C30" i="3"/>
  <c r="C103" i="3"/>
  <c r="C94" i="3"/>
  <c r="C74" i="3"/>
  <c r="C77" i="3"/>
  <c r="C33" i="3"/>
  <c r="C110" i="3"/>
  <c r="C89" i="3"/>
  <c r="C65" i="3"/>
  <c r="C48" i="3"/>
  <c r="C28" i="3"/>
  <c r="C104" i="3"/>
  <c r="C92" i="3"/>
  <c r="C64" i="3"/>
  <c r="C39" i="3"/>
  <c r="C114" i="3"/>
  <c r="C87" i="3"/>
  <c r="C63" i="3"/>
  <c r="C46" i="3"/>
  <c r="C26" i="3"/>
  <c r="C108" i="3"/>
  <c r="C90" i="3"/>
  <c r="C70" i="3"/>
  <c r="C49" i="3"/>
  <c r="C29" i="3"/>
  <c r="I138" i="3"/>
  <c r="K152" i="3"/>
  <c r="I152" i="3"/>
  <c r="H152" i="3"/>
  <c r="J152" i="3"/>
  <c r="O274" i="3"/>
  <c r="G152" i="3"/>
  <c r="F152" i="3"/>
  <c r="L152" i="3"/>
  <c r="H138" i="3"/>
  <c r="O253" i="3"/>
  <c r="O267" i="3"/>
  <c r="C98" i="3"/>
  <c r="C85" i="3"/>
  <c r="C69" i="3"/>
  <c r="C56" i="3"/>
  <c r="C40" i="3"/>
  <c r="C24" i="3"/>
  <c r="C112" i="3"/>
  <c r="C101" i="3"/>
  <c r="C84" i="3"/>
  <c r="C60" i="3"/>
  <c r="C43" i="3"/>
  <c r="C27" i="3"/>
  <c r="C100" i="3"/>
  <c r="C83" i="3"/>
  <c r="C67" i="3"/>
  <c r="C54" i="3"/>
  <c r="C38" i="3"/>
  <c r="C25" i="3"/>
  <c r="C116" i="3"/>
  <c r="C99" i="3"/>
  <c r="C82" i="3"/>
  <c r="C66" i="3"/>
  <c r="C53" i="3"/>
  <c r="C37" i="3"/>
  <c r="F138" i="3"/>
  <c r="F34" i="8"/>
  <c r="D34" i="8" a="1"/>
  <c r="D34" i="8" s="1"/>
  <c r="O262" i="3"/>
  <c r="O277" i="3"/>
  <c r="H155" i="3"/>
  <c r="L155" i="3"/>
  <c r="J155" i="3"/>
  <c r="G155" i="3"/>
  <c r="J277" i="3"/>
  <c r="F155" i="3"/>
  <c r="K155" i="3"/>
  <c r="I155" i="3"/>
  <c r="F154" i="3"/>
  <c r="H154" i="3"/>
  <c r="K154" i="3"/>
  <c r="O276" i="3"/>
  <c r="G154" i="3"/>
  <c r="I154" i="3"/>
  <c r="J154" i="3"/>
  <c r="L154" i="3"/>
  <c r="J308" i="3"/>
  <c r="H32" i="8"/>
  <c r="J290" i="3"/>
  <c r="I168" i="3"/>
  <c r="H168" i="3"/>
  <c r="G168" i="3"/>
  <c r="K168" i="3"/>
  <c r="J168" i="3"/>
  <c r="L168" i="3"/>
  <c r="F168" i="3"/>
  <c r="F255" i="3"/>
  <c r="H133" i="3"/>
  <c r="L133" i="3"/>
  <c r="K133" i="3"/>
  <c r="G133" i="3"/>
  <c r="J133" i="3"/>
  <c r="F133" i="3"/>
  <c r="I133" i="3"/>
  <c r="G134" i="3"/>
  <c r="J134" i="3"/>
  <c r="F134" i="3"/>
  <c r="I134" i="3"/>
  <c r="K134" i="3"/>
  <c r="H134" i="3"/>
  <c r="L134" i="3"/>
  <c r="O308" i="3"/>
  <c r="K142" i="3"/>
  <c r="J142" i="3"/>
  <c r="H142" i="3"/>
  <c r="G142" i="3"/>
  <c r="F142" i="3"/>
  <c r="I142" i="3"/>
  <c r="L142" i="3"/>
  <c r="H193" i="3"/>
  <c r="J193" i="3"/>
  <c r="F193" i="3"/>
  <c r="K193" i="3"/>
  <c r="I193" i="3"/>
  <c r="G193" i="3"/>
  <c r="L193" i="3"/>
  <c r="G205" i="3"/>
  <c r="J205" i="3"/>
  <c r="H205" i="3"/>
  <c r="F205" i="3"/>
  <c r="I205" i="3"/>
  <c r="K205" i="3"/>
  <c r="L205" i="3"/>
  <c r="F141" i="3"/>
  <c r="L141" i="3"/>
  <c r="K141" i="3"/>
  <c r="I141" i="3"/>
  <c r="H141" i="3"/>
  <c r="G141" i="3"/>
  <c r="J141" i="3"/>
  <c r="H145" i="3"/>
  <c r="F145" i="3"/>
  <c r="L145" i="3"/>
  <c r="I145" i="3"/>
  <c r="G145" i="3"/>
  <c r="J145" i="3"/>
  <c r="K145" i="3"/>
  <c r="J254" i="3"/>
  <c r="J256" i="3"/>
  <c r="S263" i="3"/>
  <c r="S262" i="3"/>
  <c r="S264" i="3"/>
  <c r="O327" i="3"/>
  <c r="Q308" i="3"/>
  <c r="F191" i="3"/>
  <c r="I191" i="3"/>
  <c r="H191" i="3"/>
  <c r="G191" i="3"/>
  <c r="K191" i="3"/>
  <c r="J191" i="3"/>
  <c r="L191" i="3"/>
  <c r="H136" i="3"/>
  <c r="F136" i="3"/>
  <c r="I136" i="3"/>
  <c r="L136" i="3"/>
  <c r="G136" i="3"/>
  <c r="J136" i="3"/>
  <c r="K136" i="3"/>
  <c r="H139" i="3"/>
  <c r="S261" i="3"/>
  <c r="J139" i="3"/>
  <c r="I139" i="3"/>
  <c r="G139" i="3"/>
  <c r="F139" i="3"/>
  <c r="L139" i="3"/>
  <c r="K139" i="3"/>
  <c r="J140" i="3"/>
  <c r="L140" i="3"/>
  <c r="I140" i="3"/>
  <c r="F140" i="3"/>
  <c r="H140" i="3"/>
  <c r="G140" i="3"/>
  <c r="K140" i="3"/>
  <c r="J265" i="3"/>
  <c r="J166" i="3"/>
  <c r="J288" i="3"/>
  <c r="F166" i="3"/>
  <c r="G166" i="3"/>
  <c r="L166" i="3"/>
  <c r="K166" i="3"/>
  <c r="I166" i="3"/>
  <c r="H166" i="3"/>
  <c r="I131" i="3"/>
  <c r="H131" i="3"/>
  <c r="G131" i="3"/>
  <c r="F253" i="3"/>
  <c r="J131" i="3"/>
  <c r="L131" i="3"/>
  <c r="F131" i="3"/>
  <c r="O306" i="3"/>
  <c r="I132" i="3"/>
  <c r="H132" i="3"/>
  <c r="F132" i="3"/>
  <c r="G132" i="3"/>
  <c r="L132" i="3"/>
  <c r="K132" i="3"/>
  <c r="J132" i="3"/>
  <c r="O265" i="3"/>
  <c r="F143" i="3"/>
  <c r="I143" i="3"/>
  <c r="H143" i="3"/>
  <c r="G143" i="3"/>
  <c r="L143" i="3"/>
  <c r="K143" i="3"/>
  <c r="J143" i="3"/>
  <c r="O325" i="3"/>
  <c r="Q306" i="3"/>
  <c r="J306" i="3"/>
  <c r="L203" i="3"/>
  <c r="H203" i="3"/>
  <c r="K203" i="3"/>
  <c r="G203" i="3"/>
  <c r="J203" i="3"/>
  <c r="F203" i="3"/>
  <c r="I203" i="3"/>
  <c r="F244" i="3"/>
  <c r="F237" i="3"/>
  <c r="D35" i="8" a="1"/>
  <c r="D35" i="8" s="1"/>
  <c r="D32" i="8" a="1"/>
  <c r="D32" i="8" s="1"/>
  <c r="D42" i="8"/>
  <c r="F238" i="3"/>
  <c r="F242" i="3"/>
  <c r="F241" i="3"/>
  <c r="F239" i="3"/>
  <c r="F240" i="3"/>
  <c r="F42" i="8"/>
  <c r="H355" i="3" l="1"/>
  <c r="W137" i="3"/>
  <c r="W132" i="3"/>
  <c r="W131" i="3"/>
  <c r="W134" i="3"/>
  <c r="W133" i="3"/>
  <c r="W135" i="3"/>
  <c r="V137" i="3"/>
  <c r="V135" i="3"/>
  <c r="V133" i="3"/>
  <c r="V134" i="3"/>
  <c r="V131" i="3"/>
  <c r="V132" i="3"/>
  <c r="F355" i="3"/>
  <c r="S355" i="3"/>
  <c r="Q355" i="3"/>
  <c r="L355" i="3"/>
  <c r="O355" i="3"/>
  <c r="J355" i="3"/>
  <c r="F247" i="3"/>
  <c r="F248" i="3" s="1"/>
  <c r="T748" i="2" l="1"/>
  <c r="N129" i="3" l="1" a="1"/>
  <c r="N129" i="3" s="1"/>
  <c r="N186" i="3" a="1"/>
  <c r="N186" i="3" s="1"/>
  <c r="G243" i="3"/>
  <c r="I243" i="3"/>
  <c r="K243" i="3"/>
  <c r="H243" i="3"/>
  <c r="J243" i="3"/>
  <c r="L243" i="3"/>
  <c r="F184" i="3"/>
  <c r="E229" i="3"/>
  <c r="K186" i="3"/>
  <c r="L186" i="3"/>
  <c r="E230" i="3"/>
  <c r="H186" i="3"/>
  <c r="D20" i="3"/>
  <c r="I186" i="3"/>
  <c r="G186" i="3"/>
  <c r="D19" i="3"/>
  <c r="J186" i="3"/>
  <c r="F186" i="3"/>
  <c r="L237" i="3"/>
  <c r="D73" i="3"/>
  <c r="D92" i="3"/>
  <c r="D105" i="3"/>
  <c r="D110" i="3"/>
  <c r="E162" i="3"/>
  <c r="E182" i="3"/>
  <c r="G242" i="3"/>
  <c r="D95" i="3"/>
  <c r="D29" i="3"/>
  <c r="D98" i="3"/>
  <c r="E163" i="3"/>
  <c r="E199" i="3"/>
  <c r="E218" i="3"/>
  <c r="H184" i="3"/>
  <c r="D41" i="3"/>
  <c r="D46" i="3"/>
  <c r="E146" i="3"/>
  <c r="E166" i="3"/>
  <c r="E154" i="3"/>
  <c r="E190" i="3"/>
  <c r="E225" i="3"/>
  <c r="D63" i="3"/>
  <c r="D61" i="3"/>
  <c r="D66" i="3"/>
  <c r="E139" i="3"/>
  <c r="E191" i="3"/>
  <c r="E226" i="3"/>
  <c r="L240" i="3"/>
  <c r="D35" i="3"/>
  <c r="J184" i="3"/>
  <c r="E138" i="3"/>
  <c r="E174" i="3"/>
  <c r="E209" i="3"/>
  <c r="E231" i="3"/>
  <c r="E217" i="3"/>
  <c r="D31" i="3"/>
  <c r="D111" i="3"/>
  <c r="D34" i="3"/>
  <c r="E147" i="3"/>
  <c r="E183" i="3"/>
  <c r="E203" i="3"/>
  <c r="K244" i="3"/>
  <c r="D67" i="3"/>
  <c r="D65" i="3"/>
  <c r="D80" i="3"/>
  <c r="L184" i="3"/>
  <c r="E202" i="3"/>
  <c r="H242" i="3"/>
  <c r="D47" i="3"/>
  <c r="J129" i="3"/>
  <c r="D18" i="3"/>
  <c r="D76" i="3"/>
  <c r="D82" i="3"/>
  <c r="E175" i="3"/>
  <c r="E210" i="3"/>
  <c r="K241" i="3"/>
  <c r="L242" i="3"/>
  <c r="D33" i="3"/>
  <c r="D38" i="3"/>
  <c r="E144" i="3"/>
  <c r="E164" i="3"/>
  <c r="G184" i="3"/>
  <c r="G237" i="3"/>
  <c r="L241" i="3"/>
  <c r="G240" i="3"/>
  <c r="D77" i="3"/>
  <c r="D21" i="3"/>
  <c r="D109" i="3"/>
  <c r="D114" i="3"/>
  <c r="E167" i="3"/>
  <c r="E187" i="3"/>
  <c r="J242" i="3"/>
  <c r="K129" i="3"/>
  <c r="D24" i="3"/>
  <c r="D81" i="3"/>
  <c r="E136" i="3"/>
  <c r="E172" i="3"/>
  <c r="E211" i="3"/>
  <c r="J238" i="3"/>
  <c r="D45" i="3"/>
  <c r="D50" i="3"/>
  <c r="E151" i="3"/>
  <c r="E171" i="3"/>
  <c r="E159" i="3"/>
  <c r="E195" i="3"/>
  <c r="G244" i="3"/>
  <c r="D115" i="3"/>
  <c r="D113" i="3"/>
  <c r="D118" i="3"/>
  <c r="E148" i="3"/>
  <c r="E200" i="3"/>
  <c r="H241" i="3"/>
  <c r="D39" i="3"/>
  <c r="E143" i="3"/>
  <c r="E179" i="3"/>
  <c r="E214" i="3"/>
  <c r="K240" i="3"/>
  <c r="E222" i="3"/>
  <c r="L238" i="3"/>
  <c r="D83" i="3"/>
  <c r="D48" i="3"/>
  <c r="D86" i="3"/>
  <c r="E156" i="3"/>
  <c r="E192" i="3"/>
  <c r="E215" i="3"/>
  <c r="D71" i="3"/>
  <c r="D69" i="3"/>
  <c r="D88" i="3"/>
  <c r="E206" i="3"/>
  <c r="K238" i="3"/>
  <c r="D84" i="3"/>
  <c r="D99" i="3"/>
  <c r="D51" i="3"/>
  <c r="D49" i="3"/>
  <c r="D54" i="3"/>
  <c r="E132" i="3"/>
  <c r="E184" i="3"/>
  <c r="E223" i="3"/>
  <c r="H244" i="3"/>
  <c r="D37" i="3"/>
  <c r="D42" i="3"/>
  <c r="E149" i="3"/>
  <c r="E169" i="3"/>
  <c r="K237" i="3"/>
  <c r="H237" i="3"/>
  <c r="G129" i="3"/>
  <c r="D108" i="3"/>
  <c r="D60" i="3"/>
  <c r="D70" i="3"/>
  <c r="D22" i="3"/>
  <c r="E140" i="3"/>
  <c r="E176" i="3"/>
  <c r="E196" i="3"/>
  <c r="I240" i="3"/>
  <c r="L129" i="3"/>
  <c r="D28" i="3"/>
  <c r="D85" i="3"/>
  <c r="E141" i="3"/>
  <c r="E177" i="3"/>
  <c r="E212" i="3"/>
  <c r="J239" i="3"/>
  <c r="D97" i="3"/>
  <c r="D102" i="3"/>
  <c r="E160" i="3"/>
  <c r="E180" i="3"/>
  <c r="E168" i="3"/>
  <c r="E207" i="3"/>
  <c r="J244" i="3"/>
  <c r="G238" i="3"/>
  <c r="D96" i="3"/>
  <c r="D117" i="3"/>
  <c r="E133" i="3"/>
  <c r="E153" i="3"/>
  <c r="E204" i="3"/>
  <c r="I244" i="3"/>
  <c r="E129" i="3"/>
  <c r="E152" i="3"/>
  <c r="E188" i="3"/>
  <c r="E227" i="3"/>
  <c r="I239" i="3"/>
  <c r="H240" i="3"/>
  <c r="H239" i="3"/>
  <c r="D87" i="3"/>
  <c r="D52" i="3"/>
  <c r="D90" i="3"/>
  <c r="E161" i="3"/>
  <c r="E197" i="3"/>
  <c r="E216" i="3"/>
  <c r="G239" i="3"/>
  <c r="D56" i="3"/>
  <c r="D40" i="3"/>
  <c r="D89" i="3"/>
  <c r="E219" i="3"/>
  <c r="G241" i="3"/>
  <c r="D23" i="3"/>
  <c r="D103" i="3"/>
  <c r="D55" i="3"/>
  <c r="D53" i="3"/>
  <c r="D58" i="3"/>
  <c r="E137" i="3"/>
  <c r="E189" i="3"/>
  <c r="E224" i="3"/>
  <c r="L239" i="3"/>
  <c r="D100" i="3"/>
  <c r="D32" i="3"/>
  <c r="E131" i="3"/>
  <c r="E150" i="3"/>
  <c r="J237" i="3"/>
  <c r="D75" i="3"/>
  <c r="T887" i="2"/>
  <c r="S888" i="2" s="1"/>
  <c r="D79" i="3"/>
  <c r="I237" i="3"/>
  <c r="H129" i="3"/>
  <c r="D112" i="3"/>
  <c r="D68" i="3"/>
  <c r="D74" i="3"/>
  <c r="D26" i="3"/>
  <c r="E145" i="3"/>
  <c r="E181" i="3"/>
  <c r="E201" i="3"/>
  <c r="I242" i="3"/>
  <c r="L244" i="3"/>
  <c r="D91" i="3"/>
  <c r="D25" i="3"/>
  <c r="D94" i="3"/>
  <c r="E158" i="3"/>
  <c r="E194" i="3"/>
  <c r="E213" i="3"/>
  <c r="D101" i="3"/>
  <c r="D106" i="3"/>
  <c r="E165" i="3"/>
  <c r="E185" i="3"/>
  <c r="E173" i="3"/>
  <c r="E208" i="3"/>
  <c r="I238" i="3"/>
  <c r="K242" i="3"/>
  <c r="D59" i="3"/>
  <c r="D57" i="3"/>
  <c r="D62" i="3"/>
  <c r="E134" i="3"/>
  <c r="E186" i="3"/>
  <c r="E221" i="3"/>
  <c r="F129" i="3"/>
  <c r="I184" i="3"/>
  <c r="E157" i="3"/>
  <c r="E193" i="3"/>
  <c r="E228" i="3"/>
  <c r="I241" i="3"/>
  <c r="H238" i="3"/>
  <c r="K239" i="3"/>
  <c r="D27" i="3"/>
  <c r="D107" i="3"/>
  <c r="D30" i="3"/>
  <c r="E142" i="3"/>
  <c r="E178" i="3"/>
  <c r="E198" i="3"/>
  <c r="D64" i="3"/>
  <c r="D44" i="3"/>
  <c r="D93" i="3"/>
  <c r="K184" i="3"/>
  <c r="E220" i="3"/>
  <c r="J240" i="3"/>
  <c r="D12" i="3"/>
  <c r="D43" i="3"/>
  <c r="I129" i="3"/>
  <c r="D116" i="3"/>
  <c r="D72" i="3"/>
  <c r="D78" i="3"/>
  <c r="E170" i="3"/>
  <c r="E205" i="3"/>
  <c r="J241" i="3"/>
  <c r="D104" i="3"/>
  <c r="D36" i="3"/>
  <c r="E135" i="3"/>
  <c r="E155" i="3"/>
  <c r="D15" i="3" l="1"/>
  <c r="D14" i="3"/>
  <c r="G247" i="3"/>
  <c r="I247" i="3"/>
  <c r="J247" i="3"/>
  <c r="J248" i="3" s="1"/>
  <c r="H247" i="3"/>
  <c r="H248" i="3" s="1"/>
  <c r="K247" i="3"/>
  <c r="L247" i="3"/>
  <c r="L248" i="3" s="1"/>
  <c r="B5" i="34" l="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Bob O' Hagan</author>
    <author>Bob O'Hagen</author>
  </authors>
  <commentList>
    <comment ref="B2" authorId="0" shapeId="0" xr:uid="{00000000-0006-0000-0300-000001000000}">
      <text>
        <r>
          <rPr>
            <b/>
            <sz val="9"/>
            <color indexed="81"/>
            <rFont val="Tahoma"/>
            <family val="2"/>
          </rPr>
          <t>Bob O' Hagan:</t>
        </r>
        <r>
          <rPr>
            <sz val="9"/>
            <color indexed="81"/>
            <rFont val="Tahoma"/>
            <family val="2"/>
          </rPr>
          <t xml:space="preserve">
Where an easy description for the structure or property is available e.g. from Google Maps, it was used.  "Unknown_xxx...x" was used to create unique IDs. 
APNs are no longer available in Google-Earth.</t>
        </r>
      </text>
    </comment>
    <comment ref="C2" authorId="0" shapeId="0" xr:uid="{00000000-0006-0000-0300-000002000000}">
      <text>
        <r>
          <rPr>
            <b/>
            <sz val="9"/>
            <color indexed="81"/>
            <rFont val="Tahoma"/>
            <family val="2"/>
          </rPr>
          <t xml:space="preserve">Bob O' Hagan:
</t>
        </r>
        <r>
          <rPr>
            <sz val="9"/>
            <color indexed="81"/>
            <rFont val="Tahoma"/>
            <family val="2"/>
          </rPr>
          <t>The same address is used for all structures in a Cluster as a flag for grouping.  Examples are shopping centers and business parks.</t>
        </r>
      </text>
    </comment>
    <comment ref="K2" authorId="1" shapeId="0" xr:uid="{00000000-0006-0000-0300-000003000000}">
      <text>
        <r>
          <rPr>
            <b/>
            <sz val="9"/>
            <color indexed="81"/>
            <rFont val="Tahoma"/>
            <family val="2"/>
          </rPr>
          <t>Bob O'Hagan:</t>
        </r>
        <r>
          <rPr>
            <sz val="9"/>
            <color indexed="81"/>
            <rFont val="Tahoma"/>
            <family val="2"/>
          </rPr>
          <t xml:space="preserve">
Use Color Name from Colors tabsheet</t>
        </r>
      </text>
    </comment>
    <comment ref="O2" authorId="0" shapeId="0" xr:uid="{00000000-0006-0000-0300-000004000000}">
      <text>
        <r>
          <rPr>
            <b/>
            <sz val="9"/>
            <color indexed="81"/>
            <rFont val="Tahoma"/>
            <family val="2"/>
          </rPr>
          <t>Bob O' Hagan:</t>
        </r>
        <r>
          <rPr>
            <sz val="9"/>
            <color indexed="81"/>
            <rFont val="Tahoma"/>
            <family val="2"/>
          </rPr>
          <t xml:space="preserve">
Flag used to identify first row of a new address to hold that address's total PV potential. It shows # rows with that street address.</t>
        </r>
      </text>
    </comment>
    <comment ref="P2" authorId="0" shapeId="0" xr:uid="{00000000-0006-0000-0300-000005000000}">
      <text>
        <r>
          <rPr>
            <b/>
            <sz val="9"/>
            <color indexed="81"/>
            <rFont val="Tahoma"/>
            <family val="2"/>
          </rPr>
          <t>Bob O' Hagan:</t>
        </r>
        <r>
          <rPr>
            <sz val="9"/>
            <color indexed="81"/>
            <rFont val="Tahoma"/>
            <family val="2"/>
          </rPr>
          <t xml:space="preserve">
Normally is the corner-corner area of a roof.  Obvious keepouts are avoided.
For parking garages, it is corner to corner.  For parking lots, it is only contiguous areas of double row parking.</t>
        </r>
      </text>
    </comment>
    <comment ref="Q2" authorId="0" shapeId="0" xr:uid="{00000000-0006-0000-0300-000006000000}">
      <text>
        <r>
          <rPr>
            <b/>
            <sz val="9"/>
            <color indexed="81"/>
            <rFont val="Tahoma"/>
            <family val="2"/>
          </rPr>
          <t>Bob O' Hagan:</t>
        </r>
        <r>
          <rPr>
            <sz val="9"/>
            <color indexed="81"/>
            <rFont val="Tahoma"/>
            <family val="2"/>
          </rPr>
          <t xml:space="preserve">
The structure type is used for kml symbol and for power density lookup
</t>
        </r>
      </text>
    </comment>
    <comment ref="R2" authorId="0" shapeId="0" xr:uid="{00000000-0006-0000-0300-000007000000}">
      <text>
        <r>
          <rPr>
            <b/>
            <sz val="9"/>
            <color indexed="81"/>
            <rFont val="Tahoma"/>
            <family val="2"/>
          </rPr>
          <t>Bob O' Hagan:</t>
        </r>
        <r>
          <rPr>
            <sz val="9"/>
            <color indexed="81"/>
            <rFont val="Tahoma"/>
            <family val="2"/>
          </rPr>
          <t xml:space="preserve">
Subjective rating of estimated power density potential. Criteria reviewwed with solar developers.
Is also part of the power density lookup.</t>
        </r>
      </text>
    </comment>
    <comment ref="S2" authorId="0" shapeId="0" xr:uid="{00000000-0006-0000-0300-000008000000}">
      <text>
        <r>
          <rPr>
            <b/>
            <sz val="9"/>
            <color rgb="FF000000"/>
            <rFont val="Tahoma"/>
            <family val="2"/>
          </rPr>
          <t>Bob O' Hagan:</t>
        </r>
        <r>
          <rPr>
            <sz val="9"/>
            <color rgb="FF000000"/>
            <rFont val="Tahoma"/>
            <family val="2"/>
          </rPr>
          <t xml:space="preserve">
</t>
        </r>
        <r>
          <rPr>
            <sz val="9"/>
            <color rgb="FF000000"/>
            <rFont val="Tahoma"/>
            <family val="2"/>
          </rPr>
          <t>Estimated AC W potential for this structure.</t>
        </r>
      </text>
    </comment>
    <comment ref="T2" authorId="0" shapeId="0" xr:uid="{00000000-0006-0000-0300-000009000000}">
      <text>
        <r>
          <rPr>
            <b/>
            <sz val="9"/>
            <color indexed="81"/>
            <rFont val="Tahoma"/>
            <family val="2"/>
          </rPr>
          <t>Bob O' Hagan:</t>
        </r>
        <r>
          <rPr>
            <sz val="9"/>
            <color indexed="81"/>
            <rFont val="Tahoma"/>
            <family val="2"/>
          </rPr>
          <t xml:space="preserve">
Total estimated PV AC W potential at this address.</t>
        </r>
      </text>
    </comment>
    <comment ref="W2" authorId="0" shapeId="0" xr:uid="{00000000-0006-0000-0300-00000A000000}">
      <text>
        <r>
          <rPr>
            <b/>
            <sz val="9"/>
            <color indexed="81"/>
            <rFont val="Tahoma"/>
            <family val="2"/>
          </rPr>
          <t>Bob O' Hagan:</t>
        </r>
        <r>
          <rPr>
            <sz val="9"/>
            <color indexed="81"/>
            <rFont val="Tahoma"/>
            <family val="2"/>
          </rPr>
          <t xml:space="preserve">
Closest apparent feeder ckt.  Subjective view.</t>
        </r>
      </text>
    </comment>
    <comment ref="AA2" authorId="0" shapeId="0" xr:uid="{00000000-0006-0000-0300-00000C000000}">
      <text>
        <r>
          <rPr>
            <b/>
            <sz val="9"/>
            <color rgb="FF000000"/>
            <rFont val="Tahoma"/>
            <family val="2"/>
          </rPr>
          <t>Bob O' Hagan:</t>
        </r>
        <r>
          <rPr>
            <sz val="9"/>
            <color rgb="FF000000"/>
            <rFont val="Tahoma"/>
            <family val="2"/>
          </rPr>
          <t xml:space="preserve">
</t>
        </r>
        <r>
          <rPr>
            <sz val="9"/>
            <color rgb="FF000000"/>
            <rFont val="Tahoma"/>
            <family val="2"/>
          </rPr>
          <t>Distance in ft from closest apparent point on feeder to some reasonable inside the structure.  Only used for estimating impact on interconnection costs.  Has no basis in physical reality since we have no idea where service transformers are located.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Bob O' Hagan</author>
  </authors>
  <commentList>
    <comment ref="B24" authorId="0" shapeId="0" xr:uid="{00000000-0006-0000-0700-000001000000}">
      <text>
        <r>
          <rPr>
            <b/>
            <sz val="9"/>
            <color indexed="81"/>
            <rFont val="Tahoma"/>
            <family val="2"/>
          </rPr>
          <t>Bob O' Hagan:</t>
        </r>
        <r>
          <rPr>
            <sz val="9"/>
            <color indexed="81"/>
            <rFont val="Tahoma"/>
            <family val="2"/>
          </rPr>
          <t xml:space="preserve">
Have to subtract 1 due to shift in anchor point (from $A$1 to $B$2 when additional row &amp; column were added to Data table for documenting table row 1 &amp; col A purposes.
</t>
        </r>
      </text>
    </comment>
  </commentList>
</comments>
</file>

<file path=xl/sharedStrings.xml><?xml version="1.0" encoding="utf-8"?>
<sst xmlns="http://schemas.openxmlformats.org/spreadsheetml/2006/main" count="6786" uniqueCount="1525">
  <si>
    <t>Address</t>
  </si>
  <si>
    <t>Rating</t>
  </si>
  <si>
    <t>Comments</t>
  </si>
  <si>
    <t>Pkg_Lot</t>
  </si>
  <si>
    <t>Num_Sites</t>
  </si>
  <si>
    <t>Brown_Fld</t>
  </si>
  <si>
    <t>Ckt1_ID</t>
  </si>
  <si>
    <t>Ckt1_ft</t>
  </si>
  <si>
    <t>Ckt2_ID</t>
  </si>
  <si>
    <t>Ckt2_ft</t>
  </si>
  <si>
    <t>Site_Seq</t>
  </si>
  <si>
    <t>Area_ft2</t>
  </si>
  <si>
    <t>PV_Rating</t>
  </si>
  <si>
    <t>Site_Desc</t>
  </si>
  <si>
    <t>Num_Data_Row</t>
  </si>
  <si>
    <t>Col Label</t>
  </si>
  <si>
    <t>Array Def</t>
  </si>
  <si>
    <t>Data_Row_Bgn</t>
  </si>
  <si>
    <t>Col_Indx</t>
  </si>
  <si>
    <t>Site_Desc_Col</t>
  </si>
  <si>
    <t>Address_Col</t>
  </si>
  <si>
    <t>Area_ft2_Col</t>
  </si>
  <si>
    <t>PV_Rating_Col</t>
  </si>
  <si>
    <t>Site_Seq_Col</t>
  </si>
  <si>
    <t>Ckt1_ID_Col</t>
  </si>
  <si>
    <t>Ckt1_ft_Col</t>
  </si>
  <si>
    <t>Ckt2_ID_Col</t>
  </si>
  <si>
    <t>Ckt2_ft_Col</t>
  </si>
  <si>
    <t>Comments_Col</t>
  </si>
  <si>
    <t>Lati</t>
  </si>
  <si>
    <t>Longi</t>
  </si>
  <si>
    <t>Lati_Col</t>
  </si>
  <si>
    <t>Longi_Col</t>
  </si>
  <si>
    <t>City_ZIP</t>
  </si>
  <si>
    <t>City_ZIP_Col</t>
  </si>
  <si>
    <t>PV_Type</t>
  </si>
  <si>
    <t>Pkg_Garage</t>
  </si>
  <si>
    <t>Roof_Flat</t>
  </si>
  <si>
    <t>PV_Type_Col</t>
  </si>
  <si>
    <t>kW_Total</t>
  </si>
  <si>
    <t>Icon_URL_tbl</t>
  </si>
  <si>
    <t>shapes_info_shaded</t>
  </si>
  <si>
    <t>http://maps.google.com/mapfiles/kml/shapes/info.png</t>
  </si>
  <si>
    <t>http://maps.google.com/mapfiles/kml/shapes/parking_lot.png</t>
  </si>
  <si>
    <t>shapes_sunny</t>
  </si>
  <si>
    <t>http://maps.google.com/mapfiles/kml/shapes/sunny.png</t>
  </si>
  <si>
    <t>not used</t>
  </si>
  <si>
    <t>shapes_campground</t>
  </si>
  <si>
    <t>http://maps.google.com/mapfiles/kml/shapes/campground.png</t>
  </si>
  <si>
    <t>shapes_question</t>
  </si>
  <si>
    <t>http://maps.google.com/mapfiles/kml/shapes/info_circle.png</t>
  </si>
  <si>
    <t>Info</t>
  </si>
  <si>
    <t>Question</t>
  </si>
  <si>
    <t>Less than</t>
  </si>
  <si>
    <t>Roof_Example</t>
  </si>
  <si>
    <t>High</t>
  </si>
  <si>
    <t>Medium</t>
  </si>
  <si>
    <t>Low</t>
  </si>
  <si>
    <t>shapes_shopping</t>
  </si>
  <si>
    <t>http://maps.google.com/mapfiles/kml/shapes/shopping.png</t>
  </si>
  <si>
    <t>TBD</t>
  </si>
  <si>
    <t>ZZZ-End</t>
  </si>
  <si>
    <t>Shopping</t>
  </si>
  <si>
    <t>Edu</t>
  </si>
  <si>
    <t>shapes_ranger_station</t>
  </si>
  <si>
    <t>http://maps.google.com/mapfiles/kml/shapes/ranger_station.png</t>
  </si>
  <si>
    <t>Parking Garage</t>
  </si>
  <si>
    <t>Col_Indx_Name</t>
  </si>
  <si>
    <t>Summary by Structure Types</t>
  </si>
  <si>
    <t>Biz</t>
  </si>
  <si>
    <t>shapes_dollar</t>
  </si>
  <si>
    <t>http://maps.google.com/mapfiles/kml/shapes/dollar.png</t>
  </si>
  <si>
    <t>Data definitions used on this page allow dynamic resizing of vectors used in summary calculations.  Formulas for range names are used in Name manager.</t>
  </si>
  <si>
    <t>These values are used for the power density calculations.</t>
  </si>
  <si>
    <t>The entry is selected by indexing both the PV_Type and the High-Medium_Low rating.</t>
  </si>
  <si>
    <t>Totals:</t>
  </si>
  <si>
    <t>Airport</t>
  </si>
  <si>
    <t>shapes_airport</t>
  </si>
  <si>
    <t>http://maps.google.com/mapfiles/kml/shapes/airports.png</t>
  </si>
  <si>
    <t>Please do not play with these.  The spreadsheet formulas depend upon correct execution of these dynamically named ranges</t>
  </si>
  <si>
    <t>PRPs -duplicates</t>
  </si>
  <si>
    <t>The spreadsheet is organized by worksheets as follows.</t>
  </si>
  <si>
    <t>Guide</t>
  </si>
  <si>
    <t>Summary tables of the Data worksheet with breakdowns of the data by different groupings.</t>
  </si>
  <si>
    <t>Data</t>
  </si>
  <si>
    <t>This worksheet.</t>
  </si>
  <si>
    <t>Definitions</t>
  </si>
  <si>
    <t>Ratings</t>
  </si>
  <si>
    <t>Tables of AC W/sqft assignments by structure type and High-Medium-Low power density potential assessments.</t>
  </si>
  <si>
    <t>Street address</t>
  </si>
  <si>
    <t>Surface area in sqft</t>
  </si>
  <si>
    <t>Structure type</t>
  </si>
  <si>
    <t>kml_text</t>
  </si>
  <si>
    <t>Brown Field</t>
  </si>
  <si>
    <t>Education</t>
  </si>
  <si>
    <t>Parking Lot</t>
  </si>
  <si>
    <t>Flat Roof</t>
  </si>
  <si>
    <t>Shopping Center</t>
  </si>
  <si>
    <t>To Be Determined</t>
  </si>
  <si>
    <t>[end marker]</t>
  </si>
  <si>
    <t>kml_text is used for making the icon description text</t>
  </si>
  <si>
    <t>PV power density assesment</t>
  </si>
  <si>
    <t>Nearest feeder</t>
  </si>
  <si>
    <t>Offset from $B$2 after adding explanatory row to Data</t>
  </si>
  <si>
    <t>Site name, identifier, occupant or description of structure if known</t>
  </si>
  <si>
    <t>Example</t>
  </si>
  <si>
    <t>Business Center</t>
  </si>
  <si>
    <t>n/a</t>
  </si>
  <si>
    <t>Ckt1_Cap_Avail</t>
  </si>
  <si>
    <t>Ckt2_Cap_Avail</t>
  </si>
  <si>
    <t>Ckt1_Cap_Avail_Col</t>
  </si>
  <si>
    <t>Ckt2_Cap_Avail_Col</t>
  </si>
  <si>
    <t>Flags 1st use of an address in group</t>
  </si>
  <si>
    <t>Total PV potential at this address [W, AC]</t>
  </si>
  <si>
    <t>Estimated PV potential [W, AC]</t>
  </si>
  <si>
    <t>This page is set up to filter the data in whatever way the user selects.</t>
  </si>
  <si>
    <t>The first row on the page has a quick explanation of the data in that column.</t>
  </si>
  <si>
    <t>A more detailed explanation is found in the hover tooltip (indicated by red triangles in upper right corner of cell) on row 2.  If the lower portion of the tooltip is truncated, just scroll the data portion upward until row 3 is directly after row 2, or hit (crtl)+(Home).</t>
  </si>
  <si>
    <t>Pwr_Stn</t>
  </si>
  <si>
    <t>Power Station</t>
  </si>
  <si>
    <t>shapes_earthquake</t>
  </si>
  <si>
    <t>http://maps.google.com/mapfiles/kml/shapes/earthquake.png</t>
  </si>
  <si>
    <t>Pump_Stn</t>
  </si>
  <si>
    <t>Pumping Station</t>
  </si>
  <si>
    <t>shapes_water</t>
  </si>
  <si>
    <t>http://maps.google.com/mapfiles/kml/shapes/water.png</t>
  </si>
  <si>
    <t>http://maps.google.com/mapfiles/kml/shapes/firedept.png</t>
  </si>
  <si>
    <t>Fire_Stn</t>
  </si>
  <si>
    <t>Fire Station</t>
  </si>
  <si>
    <t>shapes_fire_stn</t>
  </si>
  <si>
    <t>DC Watts per sqft</t>
  </si>
  <si>
    <t>AC Watts per sqft</t>
  </si>
  <si>
    <t>High2</t>
  </si>
  <si>
    <t>ZZZ-END</t>
  </si>
  <si>
    <t>Roof_Angled</t>
  </si>
  <si>
    <t>Golf</t>
  </si>
  <si>
    <t>shapes_golf</t>
  </si>
  <si>
    <t>http://maps.google.com/mapfiles/kml/shapes/golf.png</t>
  </si>
  <si>
    <t>Marker Symbol on Map</t>
  </si>
  <si>
    <t>Map_Sym</t>
  </si>
  <si>
    <t>Map_Sym_Col</t>
  </si>
  <si>
    <t>Sunny</t>
  </si>
  <si>
    <t>Shape Used</t>
  </si>
  <si>
    <t>URL</t>
  </si>
  <si>
    <t>Gable Roof</t>
  </si>
  <si>
    <t>Array Test Bgn Val</t>
  </si>
  <si>
    <t>Array Test End Val</t>
  </si>
  <si>
    <t>Sym_Scl</t>
  </si>
  <si>
    <t>Sym_Scl_Col</t>
  </si>
  <si>
    <t>MATCH("ZZZ-END",Data!B:B,0)-3</t>
  </si>
  <si>
    <t>Color attribute for Symbol</t>
  </si>
  <si>
    <t>Sym_Clr</t>
  </si>
  <si>
    <t>Sym_Clr_Col</t>
  </si>
  <si>
    <t>Sym_Scl_Min</t>
  </si>
  <si>
    <t>Sym_Scl_Max</t>
  </si>
  <si>
    <t>Max value for Symbol scale value</t>
  </si>
  <si>
    <t>Min non-zero value for Symbol scale value</t>
  </si>
  <si>
    <t>Red</t>
  </si>
  <si>
    <t>Short Add'l Text for G-Earth Symbol Label</t>
  </si>
  <si>
    <t>Label_Scl</t>
  </si>
  <si>
    <t>Label_Clr</t>
  </si>
  <si>
    <t>Label_Text</t>
  </si>
  <si>
    <t>Label_Text_Col</t>
  </si>
  <si>
    <t>Label_Scl_Col</t>
  </si>
  <si>
    <t>Label_Clr_Col</t>
  </si>
  <si>
    <t>Color attribute for Label.</t>
  </si>
  <si>
    <t>Label_Scl_Min</t>
  </si>
  <si>
    <t>Label_Scl_Max</t>
  </si>
  <si>
    <t>Max value for Label scale value</t>
  </si>
  <si>
    <t>Min non-zero value for Label scale value</t>
  </si>
  <si>
    <t>Yellow</t>
  </si>
  <si>
    <r>
      <t xml:space="preserve">The following table determines the </t>
    </r>
    <r>
      <rPr>
        <b/>
        <sz val="11"/>
        <color rgb="FF7030A0"/>
        <rFont val="Calibri"/>
        <family val="2"/>
        <scheme val="minor"/>
      </rPr>
      <t xml:space="preserve">icon symbol </t>
    </r>
    <r>
      <rPr>
        <sz val="11"/>
        <color theme="1"/>
        <rFont val="Calibri"/>
        <family val="2"/>
        <scheme val="minor"/>
      </rPr>
      <t>used in creating the kml file by structure label.</t>
    </r>
  </si>
  <si>
    <t>Existing</t>
  </si>
  <si>
    <t>PAEC</t>
  </si>
  <si>
    <t>http://maps.google.com/mapfiles/kml/shapes/homegardenbusiness.png</t>
  </si>
  <si>
    <t xml:space="preserve">shapes_home_garden_biz
</t>
  </si>
  <si>
    <t>AC</t>
  </si>
  <si>
    <t xml:space="preserve">DC_AC_Text: </t>
  </si>
  <si>
    <t>Medium2</t>
  </si>
  <si>
    <t>Low2</t>
  </si>
  <si>
    <t>Struc_W</t>
  </si>
  <si>
    <t>Site_Sum_W</t>
  </si>
  <si>
    <t>kml_PV_Plcmks</t>
  </si>
  <si>
    <t xml:space="preserve">DC_AC_Num: </t>
  </si>
  <si>
    <t>shapes_square</t>
  </si>
  <si>
    <t>http://maps.google.com/mapfiles/kml/shapes/square.png</t>
  </si>
  <si>
    <t>shapes_star</t>
  </si>
  <si>
    <t>http://maps.google.com/mapfiles/kml/shapes/star.png</t>
  </si>
  <si>
    <t>shapes_target</t>
  </si>
  <si>
    <t>http://maps.google.com/mapfiles/kml/shapes/target.png</t>
  </si>
  <si>
    <t>shapes_bus</t>
  </si>
  <si>
    <t>http://maps.google.com/mapfiles/kml/shapes/bus.png</t>
  </si>
  <si>
    <t>shapes_truck</t>
  </si>
  <si>
    <t>http://maps.google.com/mapfiles/kml/shapes/truck.png</t>
  </si>
  <si>
    <t>shapes_rail</t>
  </si>
  <si>
    <t>http://maps.google.com/mapfiles/kml/shapes/rail.png</t>
  </si>
  <si>
    <t>shapes_flag</t>
  </si>
  <si>
    <t>http://maps.google.com/mapfiles/kml/shapes/flag.png</t>
  </si>
  <si>
    <t>shapes_hospital</t>
  </si>
  <si>
    <t>http://maps.google.com/mapfiles/kml/shapes/hospitals.png</t>
  </si>
  <si>
    <t>Truck</t>
  </si>
  <si>
    <t>ZZZZ</t>
  </si>
  <si>
    <t>Aggregation Type</t>
  </si>
  <si>
    <t>Description</t>
  </si>
  <si>
    <t>Struc_W_Col</t>
  </si>
  <si>
    <t>Site_Sum_W_Col</t>
  </si>
  <si>
    <t>Train</t>
  </si>
  <si>
    <t>Train Station</t>
  </si>
  <si>
    <t>Scale Factor for Symbol in Display. Blank = 1</t>
  </si>
  <si>
    <t>Scale Factor for Label. Blank = 1</t>
  </si>
  <si>
    <t>Target</t>
  </si>
  <si>
    <t>Rearrange columns as needed</t>
  </si>
  <si>
    <t>Data_Sources</t>
  </si>
  <si>
    <t>Colors</t>
  </si>
  <si>
    <t>G-Earth_Icons</t>
  </si>
  <si>
    <t>Remove columns as needed</t>
  </si>
  <si>
    <t>Remove unused/NA# items</t>
  </si>
  <si>
    <t>shapes_picnic</t>
  </si>
  <si>
    <t>Storage</t>
  </si>
  <si>
    <t>Storage Units</t>
  </si>
  <si>
    <t>Latitude of structure - GE</t>
  </si>
  <si>
    <t>Longitude of structure - GE</t>
  </si>
  <si>
    <t>Pkg_Lot_Example</t>
  </si>
  <si>
    <t>shapes_lodging</t>
  </si>
  <si>
    <t>http://maps.google.com/mapfiles/kml/shapes/lodging.png</t>
  </si>
  <si>
    <t>Apartments</t>
  </si>
  <si>
    <r>
      <t xml:space="preserve">Summary of </t>
    </r>
    <r>
      <rPr>
        <b/>
        <u/>
        <sz val="11"/>
        <color theme="1"/>
        <rFont val="Calibri"/>
        <family val="2"/>
        <scheme val="minor"/>
      </rPr>
      <t>Aggregate Facilities</t>
    </r>
    <r>
      <rPr>
        <sz val="11"/>
        <color theme="1"/>
        <rFont val="Calibri"/>
        <family val="2"/>
        <scheme val="minor"/>
      </rPr>
      <t xml:space="preserve"> by City/ZIP</t>
    </r>
  </si>
  <si>
    <t>Aggregate Facilities Summary</t>
  </si>
  <si>
    <t>Existing PV</t>
  </si>
  <si>
    <t>Other symbols:</t>
  </si>
  <si>
    <t>Questions, TBD</t>
  </si>
  <si>
    <r>
      <t xml:space="preserve">Summary by </t>
    </r>
    <r>
      <rPr>
        <b/>
        <sz val="11"/>
        <color theme="1"/>
        <rFont val="Calibri"/>
        <family val="2"/>
        <scheme val="minor"/>
      </rPr>
      <t>Aggregation Type</t>
    </r>
    <r>
      <rPr>
        <sz val="11"/>
        <color theme="1"/>
        <rFont val="Calibri"/>
        <family val="2"/>
        <scheme val="minor"/>
      </rPr>
      <t>: PV at All Sites</t>
    </r>
  </si>
  <si>
    <t>Bus</t>
  </si>
  <si>
    <t>Public Transport</t>
  </si>
  <si>
    <t>Row Labels</t>
  </si>
  <si>
    <t>Grand Total</t>
  </si>
  <si>
    <t>Sum of Struc_W</t>
  </si>
  <si>
    <t>Government</t>
  </si>
  <si>
    <t>Flag</t>
  </si>
  <si>
    <t>Min</t>
  </si>
  <si>
    <t>Avg</t>
  </si>
  <si>
    <t>Max</t>
  </si>
  <si>
    <t>Hospital</t>
  </si>
  <si>
    <t>Count of blank map symbols</t>
  </si>
  <si>
    <t>Revs</t>
  </si>
  <si>
    <t>G-Earth starting set</t>
  </si>
  <si>
    <t>https://drive.google.com/open?id=0B3q_lss4DPsxNUU2WTRta2JXNnc</t>
  </si>
  <si>
    <t>https://drive.google.com/open?id=0B3q_lss4DPsxeVJHNWJCX2VsU2s</t>
  </si>
  <si>
    <t>https://drive.google.com/open?id=0B3q_lss4DPsxYVlWR21LV2p3a2M</t>
  </si>
  <si>
    <t>https://drive.google.com/open?id=0B3q_lss4DPsxUXB1TlBhNEpoMWs</t>
  </si>
  <si>
    <t>https://drive.google.com/open?id=0B3q_lss4DPsxdHhDYXhJaExRRGc</t>
  </si>
  <si>
    <t>https://drive.google.com/open?id=0B3q_lss4DPsxVFVRS0lFeUgyeEk</t>
  </si>
  <si>
    <t>https://drive.google.com/open?id=0B3q_lss4DPsxZWFZUlk3aFpWM28</t>
  </si>
  <si>
    <t>https://drive.google.com/open?id=0B3q_lss4DPsxeFpkUGU3R2lSNk0</t>
  </si>
  <si>
    <t>https://drive.google.com/open?id=0B3q_lss4DPsxdktaUHBZd2pZN2c</t>
  </si>
  <si>
    <t>https://drive.google.com/open?id=0B3q_lss4DPsxWXFGUlZYOUpsd28</t>
  </si>
  <si>
    <t>https://drive.google.com/open?id=0B3q_lss4DPsxdVotS1N1STBXaDQ</t>
  </si>
  <si>
    <t>https://drive.google.com/open?id=0B3q_lss4DPsxNUJJN2F2UzdPZUU</t>
  </si>
  <si>
    <t>https://drive.google.com/open?id=0B3q_lss4DPsxNTcxYzFFQ0FPZm8</t>
  </si>
  <si>
    <t>https://drive.google.com/open?id=0B3q_lss4DPsxOUZMVWw0a2JWZWc</t>
  </si>
  <si>
    <t>https://drive.google.com/open?id=0B3q_lss4DPsxR2dZTEVpandKRkE</t>
  </si>
  <si>
    <t>https://drive.google.com/open?id=0B3q_lss4DPsxMVJsQk1DOUVST28</t>
  </si>
  <si>
    <t>https://drive.google.com/open?id=0B3q_lss4DPsxamY0aVZVeVp4RHM</t>
  </si>
  <si>
    <t>https://drive.google.com/open?id=0B3q_lss4DPsxU0Y5ekt4N0Q0M3M</t>
  </si>
  <si>
    <t>https://drive.google.com/open?id=0B3q_lss4DPsxLUM0bmFHVWRYRVE</t>
  </si>
  <si>
    <t>https://drive.google.com/open?id=0B3q_lss4DPsxdlhHd1dYTERQMUE</t>
  </si>
  <si>
    <t>https://drive.google.com/open?id=0B3q_lss4DPsxRFZ1eUFhZHo5VE0</t>
  </si>
  <si>
    <t>https://drive.google.com/open?id=0B3q_lss4DPsxcnFFLTlHbXJTa2s</t>
  </si>
  <si>
    <t>https://drive.google.com/open?id=0B3q_lss4DPsxZ0diQkIyZ0d2TVE</t>
  </si>
  <si>
    <t>https://drive.google.com/open?id=0B3q_lss4DPsxenlGQ2JyZlotSnc</t>
  </si>
  <si>
    <t>SVG on G-Drive</t>
  </si>
  <si>
    <t>PNG on G-Drive</t>
  </si>
  <si>
    <t>http://www.clean-coalition.org/site/wp-content/uploads/2017/02/apartment-building-by-Claire-Jones.png</t>
  </si>
  <si>
    <t>PNG on CC website</t>
  </si>
  <si>
    <t>City List</t>
  </si>
  <si>
    <t>Publication Steps</t>
  </si>
  <si>
    <t>kml_PVSite_Bgn_End</t>
  </si>
  <si>
    <r>
      <t xml:space="preserve">1) Keep or </t>
    </r>
    <r>
      <rPr>
        <strike/>
        <sz val="11"/>
        <color theme="1"/>
        <rFont val="Calibri"/>
        <family val="2"/>
        <scheme val="minor"/>
      </rPr>
      <t>Remove</t>
    </r>
    <r>
      <rPr>
        <sz val="11"/>
        <color theme="1"/>
        <rFont val="Calibri"/>
        <family val="2"/>
        <scheme val="minor"/>
      </rPr>
      <t xml:space="preserve"> tabsheets</t>
    </r>
  </si>
  <si>
    <t>?</t>
  </si>
  <si>
    <t>Legend Notes</t>
  </si>
  <si>
    <t>http://www.clean-coalition.org/site/wp-content/uploads/2017/02/parking-icon.gif</t>
  </si>
  <si>
    <t>Estimated feet to feeder</t>
  </si>
  <si>
    <t>(blank)</t>
  </si>
  <si>
    <t>Zone_ID</t>
  </si>
  <si>
    <t>Remove Sunroof columns</t>
  </si>
  <si>
    <t>If kept, remove references to sections not used in this contract</t>
  </si>
  <si>
    <t>Put as a table in Guide?</t>
  </si>
  <si>
    <t>ICA</t>
  </si>
  <si>
    <t>Hide ICA columns</t>
  </si>
  <si>
    <t>Existing PV, High Density</t>
  </si>
  <si>
    <t>3) Supplemental docs</t>
  </si>
  <si>
    <t>Save As</t>
  </si>
  <si>
    <t>No macros (.xlsx not .xlsm)</t>
  </si>
  <si>
    <t>Title changes: Distribution</t>
  </si>
  <si>
    <t>PV_Summary</t>
  </si>
  <si>
    <t>ICA_Summary</t>
  </si>
  <si>
    <t>The actual data table used to generate the kml file for Google Earth.</t>
  </si>
  <si>
    <t>Also has URL paths for the icons used in the kml files.</t>
  </si>
  <si>
    <t>MapRectLatiMax</t>
  </si>
  <si>
    <t>MapRectLatiMin</t>
  </si>
  <si>
    <t>MapRectLongiMax</t>
  </si>
  <si>
    <t>MapRectLongiMin</t>
  </si>
  <si>
    <t>Venue</t>
  </si>
  <si>
    <t>Sites</t>
  </si>
  <si>
    <t>Water</t>
  </si>
  <si>
    <t>Entertainment</t>
  </si>
  <si>
    <t>Sym_Scl_Aggr_Parent</t>
  </si>
  <si>
    <t>Sym_Scl_Aggr_Child</t>
  </si>
  <si>
    <t>Sym_Scl_Normal</t>
  </si>
  <si>
    <t>Label_Scl_Aggr_Parent</t>
  </si>
  <si>
    <t>Label_Scl_Aggr_Child</t>
  </si>
  <si>
    <t>Label_Scl_Normal</t>
  </si>
  <si>
    <t>Used for cond fmt error checking</t>
  </si>
  <si>
    <t>Ensure all "&amp;" changed to "&amp;amp;" to clear GE loading errors due to "&amp;" in desc</t>
  </si>
  <si>
    <t>Used for altering icons and text in kml map display to exaggerate size of aggregate icon parent and diminish size of aggregate children</t>
  </si>
  <si>
    <t>Sums</t>
  </si>
  <si>
    <t>Count</t>
  </si>
  <si>
    <t>Structures</t>
  </si>
  <si>
    <t>Summary by  Structures</t>
  </si>
  <si>
    <t>Summary by  Sites</t>
  </si>
  <si>
    <r>
      <t>(</t>
    </r>
    <r>
      <rPr>
        <sz val="11"/>
        <color rgb="FFFF0000"/>
        <rFont val="Calibri"/>
        <family val="2"/>
        <scheme val="minor"/>
      </rPr>
      <t xml:space="preserve">Colored </t>
    </r>
    <r>
      <rPr>
        <b/>
        <sz val="11"/>
        <color rgb="FFFF0000"/>
        <rFont val="Calibri"/>
        <family val="2"/>
        <scheme val="minor"/>
      </rPr>
      <t>red</t>
    </r>
    <r>
      <rPr>
        <sz val="11"/>
        <color theme="1"/>
        <rFont val="Calibri"/>
        <family val="2"/>
        <scheme val="minor"/>
      </rPr>
      <t xml:space="preserve"> in G-Earth)</t>
    </r>
  </si>
  <si>
    <t>Solar Siting Survey</t>
  </si>
  <si>
    <t>&lt;1MW</t>
  </si>
  <si>
    <t>Temp_City</t>
  </si>
  <si>
    <t>Temp_Site</t>
  </si>
  <si>
    <t>This spreadsheet contains the results of a PV potential siting survey performed by the Clean Coaltion</t>
  </si>
  <si>
    <t>Clear out comments in col A</t>
  </si>
  <si>
    <t>Update any new tabsheets added for this survey</t>
  </si>
  <si>
    <t>4)</t>
  </si>
  <si>
    <t>Create G-Maps version of kml files</t>
  </si>
  <si>
    <t>Collect all supplemental site maps into a zip folder</t>
  </si>
  <si>
    <t>Save survey file with Rev that matches spreadsheet</t>
  </si>
  <si>
    <t>3) KML File(s)</t>
  </si>
  <si>
    <t>2) Spreadsheet save changes</t>
  </si>
  <si>
    <t>Hide checking row formulas below database</t>
  </si>
  <si>
    <t>Leave it. Used for Top 5 calcs by ZIP and city</t>
  </si>
  <si>
    <t>http://www.clean-coalition.org/site/wp-content/uploads/2017/07/grass.png</t>
  </si>
  <si>
    <t>Int'l Gateway of Americas</t>
  </si>
  <si>
    <t>4211 Camino de la Plaza</t>
  </si>
  <si>
    <t>San Diego, CA 92173</t>
  </si>
  <si>
    <t>IGA Bldg 01</t>
  </si>
  <si>
    <t>IGA Bldg 02</t>
  </si>
  <si>
    <t>IGA Bldg 03</t>
  </si>
  <si>
    <t>IGA Bldg 04</t>
  </si>
  <si>
    <t>IGA Bldg 05</t>
  </si>
  <si>
    <t>IGA Bldg 06</t>
  </si>
  <si>
    <t>IGA Bldg 07</t>
  </si>
  <si>
    <t>IGA Bldg 08</t>
  </si>
  <si>
    <t>IGA Bldg 09</t>
  </si>
  <si>
    <t>IGA Bldg 10</t>
  </si>
  <si>
    <t>IGA Bldg 11</t>
  </si>
  <si>
    <t>IGA Bldg 12</t>
  </si>
  <si>
    <t>IGA Bldg 13</t>
  </si>
  <si>
    <t>IGA Bldg 14</t>
  </si>
  <si>
    <t>IGA Bldg 15</t>
  </si>
  <si>
    <t>IGA Bldg 16</t>
  </si>
  <si>
    <t>IGA Bldg 17</t>
  </si>
  <si>
    <t>San Ysidro, CA 92173</t>
  </si>
  <si>
    <t>IGA Parking 01</t>
  </si>
  <si>
    <t>IGA Parking 02</t>
  </si>
  <si>
    <t>IGA Parking 03</t>
  </si>
  <si>
    <t>IGA Parking 04</t>
  </si>
  <si>
    <t>IGA Parking 05</t>
  </si>
  <si>
    <t>IGA Parking 06</t>
  </si>
  <si>
    <t>IGA Parking 07</t>
  </si>
  <si>
    <t>IGA Parking 08</t>
  </si>
  <si>
    <t>4330-4558 Camino de la Plaza</t>
  </si>
  <si>
    <t>San Ysidro</t>
  </si>
  <si>
    <t>San Ysidro Village</t>
  </si>
  <si>
    <t>SYV Parking 01</t>
  </si>
  <si>
    <t>SYV Parking 02</t>
  </si>
  <si>
    <t>SYV Parking 03</t>
  </si>
  <si>
    <t>Border Station Parking</t>
  </si>
  <si>
    <t>4570 Camino De La Plaza</t>
  </si>
  <si>
    <t xml:space="preserve">Under Construction-Frmr Brdr Stn Pkg </t>
  </si>
  <si>
    <t>Warehousing Calle de Linea</t>
  </si>
  <si>
    <t>6794 Calle De Linea</t>
  </si>
  <si>
    <t>San Diego, CA 92154</t>
  </si>
  <si>
    <t>Ceva Freight</t>
  </si>
  <si>
    <t>Bread in Motion</t>
  </si>
  <si>
    <t>Poly-Ag Corp</t>
  </si>
  <si>
    <t>Roof_flat</t>
  </si>
  <si>
    <t>Innovative Cold Storage Enterprises</t>
  </si>
  <si>
    <t>7350 Britannia Ct</t>
  </si>
  <si>
    <t>ADESA San Diego</t>
  </si>
  <si>
    <t>ADESA Pkg 01</t>
  </si>
  <si>
    <t>ADESA Pkg 02</t>
  </si>
  <si>
    <t>ADESA Pkg 03</t>
  </si>
  <si>
    <t>ADESA Pkg 04</t>
  </si>
  <si>
    <t>ZIP_5</t>
  </si>
  <si>
    <t>ZIP_5_Col</t>
  </si>
  <si>
    <t>2175 Cactus Rd</t>
  </si>
  <si>
    <t>Insurance Auto Auctions</t>
  </si>
  <si>
    <t>IAA Parking 01</t>
  </si>
  <si>
    <t>IAA Parking 02</t>
  </si>
  <si>
    <t>IAA Parking 03</t>
  </si>
  <si>
    <t>IAA Parking 04</t>
  </si>
  <si>
    <t>2380 Britannia Blvd</t>
  </si>
  <si>
    <t>Britannia Park Place Bldgs</t>
  </si>
  <si>
    <t>BPP Bldg 01</t>
  </si>
  <si>
    <t>BPP Bldg 02</t>
  </si>
  <si>
    <t>BPP Bldg 03</t>
  </si>
  <si>
    <t>BPP Bldg 04</t>
  </si>
  <si>
    <t>BPP Bldg 05</t>
  </si>
  <si>
    <t>BPP Bldg 06</t>
  </si>
  <si>
    <t>BPP Bldg 07</t>
  </si>
  <si>
    <t>BPP Bldg 08</t>
  </si>
  <si>
    <t>2345 Britannia Blvd</t>
  </si>
  <si>
    <t>Rod Robertson</t>
  </si>
  <si>
    <t>9020 Airway Rd</t>
  </si>
  <si>
    <t>Unknown Bldg</t>
  </si>
  <si>
    <t>RR Parking 1</t>
  </si>
  <si>
    <t>RR Parking 2</t>
  </si>
  <si>
    <t>RR Parking 3</t>
  </si>
  <si>
    <t>RR Parking 4</t>
  </si>
  <si>
    <t>RR Parking 5</t>
  </si>
  <si>
    <t>8770 Airway Rd</t>
  </si>
  <si>
    <t>Copart - San Diego</t>
  </si>
  <si>
    <t>Copart Parking 01</t>
  </si>
  <si>
    <t>Copart Parking 02</t>
  </si>
  <si>
    <t>Copart Parking 03</t>
  </si>
  <si>
    <t>Copart Parking 04</t>
  </si>
  <si>
    <t xml:space="preserve"> 7847 Airway Rd</t>
  </si>
  <si>
    <t>1320 Air Wing Rd</t>
  </si>
  <si>
    <t>Chipman Bldg 01</t>
  </si>
  <si>
    <t>Chipman Bldg 02</t>
  </si>
  <si>
    <t>Whalen Furniture Mfg</t>
  </si>
  <si>
    <t>Whalen Bldg 01</t>
  </si>
  <si>
    <t>Whalen Bldg 02</t>
  </si>
  <si>
    <t>1578 Air Wing Rd</t>
  </si>
  <si>
    <t>FedEx Trade Networks</t>
  </si>
  <si>
    <t>8409 Kerns St</t>
  </si>
  <si>
    <t>Chipman Relocation &amp;amp; Logistics</t>
  </si>
  <si>
    <t>8511 Kerns St</t>
  </si>
  <si>
    <t>Nassco</t>
  </si>
  <si>
    <t>Johnson Storage &amp;amp; Moving</t>
  </si>
  <si>
    <t>8709 Kerns St</t>
  </si>
  <si>
    <t>JSM Bldg 01</t>
  </si>
  <si>
    <t>JSM Bldg 02</t>
  </si>
  <si>
    <t>Otay Mesa Sales</t>
  </si>
  <si>
    <t>8851 Kerns St</t>
  </si>
  <si>
    <t>Mad Engine DC</t>
  </si>
  <si>
    <t>8917 Kerns St</t>
  </si>
  <si>
    <t>Bose</t>
  </si>
  <si>
    <t>2660 Sarnen St</t>
  </si>
  <si>
    <t>Under Construction</t>
  </si>
  <si>
    <t>Imperial Toy</t>
  </si>
  <si>
    <t>9043 Siempre Viva Rd</t>
  </si>
  <si>
    <t>Customhouse Plaza</t>
  </si>
  <si>
    <t>Siempre Viva Rd &amp;amp; Drucker Ln</t>
  </si>
  <si>
    <t>OMG Logistics</t>
  </si>
  <si>
    <t>Customhouse Plaza Bldg 2</t>
  </si>
  <si>
    <t>Otay Mesa Coc</t>
  </si>
  <si>
    <t>PM Packaging</t>
  </si>
  <si>
    <t>Customhouse Ct-Customhouse Plaza</t>
  </si>
  <si>
    <t>Customhouse Ct</t>
  </si>
  <si>
    <t>Customhouse Ct Bldg 01</t>
  </si>
  <si>
    <t>Customhouse Ct Bldg 02</t>
  </si>
  <si>
    <t>Customhouse Ct Bldg 03</t>
  </si>
  <si>
    <t>Customhouse Ct Bldg 04</t>
  </si>
  <si>
    <t>Customhouse Ct Bldg 05</t>
  </si>
  <si>
    <t>Border Patrol</t>
  </si>
  <si>
    <t>9495 Customhouse Plaza</t>
  </si>
  <si>
    <t>San Diego, CA</t>
  </si>
  <si>
    <t>Grant Hill</t>
  </si>
  <si>
    <t>Miramar</t>
  </si>
  <si>
    <t>Mira Mesa</t>
  </si>
  <si>
    <t>Old Town</t>
  </si>
  <si>
    <t>Pacific Beach</t>
  </si>
  <si>
    <t>Torrey Pines</t>
  </si>
  <si>
    <t>2001 Sanyo Ave</t>
  </si>
  <si>
    <t>Next to Panasonic</t>
  </si>
  <si>
    <t>Dornoch Ct</t>
  </si>
  <si>
    <t>Mission Imprintables</t>
  </si>
  <si>
    <t>Pino's Produce</t>
  </si>
  <si>
    <t xml:space="preserve">1710 Dornoch Ct </t>
  </si>
  <si>
    <t>Mor Furniture for Less</t>
  </si>
  <si>
    <t>7757 St Andrews Ave</t>
  </si>
  <si>
    <t>Fabricas de Calzado Andrea</t>
  </si>
  <si>
    <t>7603 St Andrews Ave</t>
  </si>
  <si>
    <t>San Diego Auto Wrecking</t>
  </si>
  <si>
    <t>951-C Heritage Rd</t>
  </si>
  <si>
    <t>Ocean View Hills Corp Ctr</t>
  </si>
  <si>
    <t>1425 Corporate Center Dr</t>
  </si>
  <si>
    <t>Artissimo Design</t>
  </si>
  <si>
    <t>Plantronics</t>
  </si>
  <si>
    <t>Diff Error</t>
  </si>
  <si>
    <t>San Diego Cheer Elite</t>
  </si>
  <si>
    <t>East of SD Cheer</t>
  </si>
  <si>
    <t>South of SD Cheer</t>
  </si>
  <si>
    <t>FedEx Ship Center</t>
  </si>
  <si>
    <t>Global Plastics Sheeting</t>
  </si>
  <si>
    <t>Zebra Technologies</t>
  </si>
  <si>
    <t>Trepco West</t>
  </si>
  <si>
    <t>Point Loma</t>
  </si>
  <si>
    <t>Imperial Beach</t>
  </si>
  <si>
    <t>Zip</t>
  </si>
  <si>
    <t>Use for PV Min Impact [MW]</t>
  </si>
  <si>
    <t>Use for PV Posbl Impact [MW]</t>
  </si>
  <si>
    <t>Border</t>
  </si>
  <si>
    <t>Substation</t>
  </si>
  <si>
    <t>Ross</t>
  </si>
  <si>
    <t>Weber Distribution Warehouses</t>
  </si>
  <si>
    <t>1366 30th St</t>
  </si>
  <si>
    <t>710 Dennery Rd</t>
  </si>
  <si>
    <t>Walmart</t>
  </si>
  <si>
    <t>Vons</t>
  </si>
  <si>
    <t>AMC Promenade 24</t>
  </si>
  <si>
    <t>Walmart Pkg 1</t>
  </si>
  <si>
    <t>Walmart Pkg 2</t>
  </si>
  <si>
    <t>AMC 24 Pkg 1</t>
  </si>
  <si>
    <t>AMC 24 Pkg 2</t>
  </si>
  <si>
    <t>AMC 24 Pkg 3</t>
  </si>
  <si>
    <t>Home Depot</t>
  </si>
  <si>
    <t>HD Pkg 1</t>
  </si>
  <si>
    <t>HD Pkg 2</t>
  </si>
  <si>
    <t>Southland Plaza Shopping Center</t>
  </si>
  <si>
    <t>655 Saturn Blvd</t>
  </si>
  <si>
    <t>CVS</t>
  </si>
  <si>
    <t>Navy FCU Pkg</t>
  </si>
  <si>
    <t>BoA-WFB Pkg</t>
  </si>
  <si>
    <t>San Diego NB Commissary</t>
  </si>
  <si>
    <t>3629, 2525 Callagan Hwy</t>
  </si>
  <si>
    <t>San Diego, CA 92113</t>
  </si>
  <si>
    <t>ZIP_5 for summaries</t>
  </si>
  <si>
    <t>Vector Name:</t>
  </si>
  <si>
    <t>SDNBC Pkg 1</t>
  </si>
  <si>
    <t>SDNBC Pkg 2</t>
  </si>
  <si>
    <t>SDNBC Pkg 3</t>
  </si>
  <si>
    <t>SDNBC Pkg 4</t>
  </si>
  <si>
    <t>San Diego NB Commissary Shopping Ctr</t>
  </si>
  <si>
    <t>SDNBC Unk Bldg</t>
  </si>
  <si>
    <t>SDNBC Navy Exchg</t>
  </si>
  <si>
    <t>1770 Thor St</t>
  </si>
  <si>
    <t>Yara North America</t>
  </si>
  <si>
    <t>Imperial Marketplace</t>
  </si>
  <si>
    <t>255-265 Marketplace Ave.</t>
  </si>
  <si>
    <t>99 Cent Store</t>
  </si>
  <si>
    <t>Imp Mkt Pkg 1</t>
  </si>
  <si>
    <t>Imp Mkt Pkg 2</t>
  </si>
  <si>
    <t>Imp Mkt Pkg 3</t>
  </si>
  <si>
    <t>Costco</t>
  </si>
  <si>
    <t>650 Gateway Center Dr</t>
  </si>
  <si>
    <t>San Diego, CA 92102</t>
  </si>
  <si>
    <t>Bldg Cluster incl Bldg 291, NAVFAC</t>
  </si>
  <si>
    <t>Bldg 291 Pkg 1</t>
  </si>
  <si>
    <t>Bldg 291 Pkg 2</t>
  </si>
  <si>
    <t>Bldg 291 Pkg 3</t>
  </si>
  <si>
    <t>Bldg 291 Pkg 4</t>
  </si>
  <si>
    <t>Bldg 291 Pkg 5</t>
  </si>
  <si>
    <t xml:space="preserve">Unknown Bldg </t>
  </si>
  <si>
    <t>Brinser St</t>
  </si>
  <si>
    <t>Coca-Cola Bottling Co</t>
  </si>
  <si>
    <t>1348 47th St</t>
  </si>
  <si>
    <t>Coca-Cola Bldg 1</t>
  </si>
  <si>
    <t>Coca-Cola Bldg 2</t>
  </si>
  <si>
    <t>Coca-Cola Bldg 3</t>
  </si>
  <si>
    <t>BAE Systems Lot 11</t>
  </si>
  <si>
    <t>SDT Harborside Station</t>
  </si>
  <si>
    <t>SDTHS Pkg 1</t>
  </si>
  <si>
    <t>SDTHS Pkg 2</t>
  </si>
  <si>
    <t>SDTHS Pkg 3</t>
  </si>
  <si>
    <t>SDTHS Pkg 4</t>
  </si>
  <si>
    <t>SDTHS Pkg 5</t>
  </si>
  <si>
    <t>SDTHS Pkg 6</t>
  </si>
  <si>
    <t>SDTHS Pkg 7</t>
  </si>
  <si>
    <t>SDTHS Pkg 8</t>
  </si>
  <si>
    <t>SDTHS Pkg 9</t>
  </si>
  <si>
    <t>SDTHS Pkg 10</t>
  </si>
  <si>
    <t>SDTHS Pkg 11</t>
  </si>
  <si>
    <t>SDTHS Pkg 12</t>
  </si>
  <si>
    <t>SDTHS Pkg 13</t>
  </si>
  <si>
    <t>San Diego International Airport</t>
  </si>
  <si>
    <t>3225 N Harbor Dr</t>
  </si>
  <si>
    <t>San Diego, CA 92101</t>
  </si>
  <si>
    <t>Near Pac Hwy</t>
  </si>
  <si>
    <t>SAN Pkg 1</t>
  </si>
  <si>
    <t>SAN Pkg 2</t>
  </si>
  <si>
    <t>Near Car Rental Bldg</t>
  </si>
  <si>
    <t>Car Rental Roof</t>
  </si>
  <si>
    <t>Aladdin Airport Parking</t>
  </si>
  <si>
    <t>Park n Go, Park N Fly</t>
  </si>
  <si>
    <t>SAN Pkg E End S-W Laurel</t>
  </si>
  <si>
    <t>SAN Pkg E End N-Pac Hwy</t>
  </si>
  <si>
    <t>Rental Car Rtn Pkg</t>
  </si>
  <si>
    <t>SAN Long Term W</t>
  </si>
  <si>
    <t>SAN Long Term E</t>
  </si>
  <si>
    <t>Commuter Terminal Pkg</t>
  </si>
  <si>
    <t>Air Cargo Pkg</t>
  </si>
  <si>
    <t>Terminal 1 Pkg Lot</t>
  </si>
  <si>
    <t>Terminal 2 PV</t>
  </si>
  <si>
    <t>Terminal 2 Pkg PV</t>
  </si>
  <si>
    <t>Unknown Shopping Center</t>
  </si>
  <si>
    <t>2495 Truxtun Rd</t>
  </si>
  <si>
    <t>San Diego, CA 92106</t>
  </si>
  <si>
    <t>Vons Pkg</t>
  </si>
  <si>
    <t>Point Loma Sports Pkg</t>
  </si>
  <si>
    <t>Slaters Pkg</t>
  </si>
  <si>
    <t>Kettner</t>
  </si>
  <si>
    <t>Terminal 2 Construction</t>
  </si>
  <si>
    <t>GE shows construction</t>
  </si>
  <si>
    <t>Streamview</t>
  </si>
  <si>
    <t>Paradise</t>
  </si>
  <si>
    <t>Sampson</t>
  </si>
  <si>
    <t>Multiple</t>
  </si>
  <si>
    <t>E Harbor Dr &amp;amp; S 28th St</t>
  </si>
  <si>
    <t>San Diego, CA 92136</t>
  </si>
  <si>
    <t>Near 3670 Surface Navy Blvd</t>
  </si>
  <si>
    <t>Division</t>
  </si>
  <si>
    <t>Sicard St &amp;amp; Main St</t>
  </si>
  <si>
    <t>Palm Promenade Shopping Ctr</t>
  </si>
  <si>
    <t>Walmart Pkg 3</t>
  </si>
  <si>
    <t>K-Mart</t>
  </si>
  <si>
    <t>Oshkosh</t>
  </si>
  <si>
    <t>Marshalls</t>
  </si>
  <si>
    <t>536 has neg PV capacity</t>
  </si>
  <si>
    <t>4050 Taylor St</t>
  </si>
  <si>
    <t>San Diego, CA 92110</t>
  </si>
  <si>
    <t>Caltrans Dist Off Pkg</t>
  </si>
  <si>
    <t>Sears Outlet</t>
  </si>
  <si>
    <t>960 Sherman St</t>
  </si>
  <si>
    <t>SeaWorld San Diego</t>
  </si>
  <si>
    <t>500 Sea World Dr</t>
  </si>
  <si>
    <t>Hubbs Research Pkg</t>
  </si>
  <si>
    <t>San Diego, CA 92109</t>
  </si>
  <si>
    <t>SWSD Employee Pkg 1</t>
  </si>
  <si>
    <t>SWSD Pkg Vis 1</t>
  </si>
  <si>
    <t>SWSD Pkg Vis NW</t>
  </si>
  <si>
    <t>SWSD Pkg Vis SW</t>
  </si>
  <si>
    <t>SWSD Employee Pkg 2</t>
  </si>
  <si>
    <t>SWSD Pkg Vis 2</t>
  </si>
  <si>
    <t>SWSD Pkg Vis 3</t>
  </si>
  <si>
    <t>SWSD Pkg Vis 4</t>
  </si>
  <si>
    <t>SWSD Pkg Vis 5</t>
  </si>
  <si>
    <t>SWSD Pkg Vis 6</t>
  </si>
  <si>
    <t>SWSD Pkg Vis 7</t>
  </si>
  <si>
    <t>South Shores Park</t>
  </si>
  <si>
    <t>S Shores Park Dy</t>
  </si>
  <si>
    <t>S Shores Pkg 1</t>
  </si>
  <si>
    <t>S Shores Pkg 2</t>
  </si>
  <si>
    <t>Seaforth Marina Pkg</t>
  </si>
  <si>
    <t>1677 Quivira Rd</t>
  </si>
  <si>
    <t>Marina Vlg Conf Ctr Pkg</t>
  </si>
  <si>
    <t>1936 Quivira Way</t>
  </si>
  <si>
    <t>Dana Landing Market Pkg</t>
  </si>
  <si>
    <t>2580 Ingraham St</t>
  </si>
  <si>
    <t>Sports Arena Square</t>
  </si>
  <si>
    <t>3340 Sports Arena Blvd</t>
  </si>
  <si>
    <t>SAS Home Depot</t>
  </si>
  <si>
    <t>SAS Unknown Store</t>
  </si>
  <si>
    <t>SAS Dick's Sporting</t>
  </si>
  <si>
    <t>SAS Ralph's</t>
  </si>
  <si>
    <t>SAS Target</t>
  </si>
  <si>
    <t>SAS Pkg 1</t>
  </si>
  <si>
    <t>SAS Pkg 2</t>
  </si>
  <si>
    <t>SAS Pkg 3</t>
  </si>
  <si>
    <t>SAS Pkg 4</t>
  </si>
  <si>
    <t>SAS Pkg 5</t>
  </si>
  <si>
    <t>SAS Ross</t>
  </si>
  <si>
    <t>Valley View Casino Center</t>
  </si>
  <si>
    <t>3500 Sports Arena Blvd</t>
  </si>
  <si>
    <t>VVCC Bldg</t>
  </si>
  <si>
    <t>VVCC Pkg 1</t>
  </si>
  <si>
    <t>VVCC Pkg 2</t>
  </si>
  <si>
    <t>VVCC Pkg 3</t>
  </si>
  <si>
    <t>VVCC Pkg 4</t>
  </si>
  <si>
    <t>Pkg near Walter Andersen Nursery</t>
  </si>
  <si>
    <t>3642 Enterprise St</t>
  </si>
  <si>
    <t>VA San Diego Healthcare System</t>
  </si>
  <si>
    <t>3350 La Jolla Village Dr</t>
  </si>
  <si>
    <t>San Diego, CA 92161</t>
  </si>
  <si>
    <t>VASD Pkg Garage</t>
  </si>
  <si>
    <t>VASD Pkg Lot 1</t>
  </si>
  <si>
    <t>VASD Pkg Lot 2</t>
  </si>
  <si>
    <t>VASD Pkg Lot 3</t>
  </si>
  <si>
    <t>VASD Pkg Lot 4</t>
  </si>
  <si>
    <t>VASD Pkg Lot 5</t>
  </si>
  <si>
    <t>Torrey Pines Golf Course Pkg</t>
  </si>
  <si>
    <t>11480 N Torrey Pines Rd</t>
  </si>
  <si>
    <t>La Jolla, CA 92037</t>
  </si>
  <si>
    <t>Genesee</t>
  </si>
  <si>
    <t>Highest Potential by Zip Code</t>
  </si>
  <si>
    <t>Rank</t>
  </si>
  <si>
    <t xml:space="preserve">ZIP  </t>
  </si>
  <si>
    <t>kW</t>
  </si>
  <si>
    <t>UCSD</t>
  </si>
  <si>
    <t>9500 Gilman Dr</t>
  </si>
  <si>
    <t>La Jolla, CA 92093</t>
  </si>
  <si>
    <t>Sanford Consortium for Regen Med Pkg 1</t>
  </si>
  <si>
    <t>Sanford Consortium for Regen Med Pkg 2</t>
  </si>
  <si>
    <t>2880 Torrey Pines Scenic Dr, La Jolla, CA 92037</t>
  </si>
  <si>
    <t>Salk Inst Pkg W</t>
  </si>
  <si>
    <t>Salk Inst Pkg E</t>
  </si>
  <si>
    <t>10010 N Torrey Pines Rd</t>
  </si>
  <si>
    <t>Int'l House Pkg Garage</t>
  </si>
  <si>
    <t>9500 Gilman Dr, La Jolla, CA 92093</t>
  </si>
  <si>
    <t>Hopkins Pkg Structure</t>
  </si>
  <si>
    <t>9500 Gilman Drive 0512, Thurgood Marshall College, La Jolla, CA 92037</t>
  </si>
  <si>
    <t>SDNBC Pkg 5</t>
  </si>
  <si>
    <t>Lot P304</t>
  </si>
  <si>
    <t>Lot P303</t>
  </si>
  <si>
    <t>Lot P302</t>
  </si>
  <si>
    <t>Lot P208</t>
  </si>
  <si>
    <t>Lot P207</t>
  </si>
  <si>
    <t>Lot P206</t>
  </si>
  <si>
    <t>Comments re area or assessment. Addresses fm G-Maps</t>
  </si>
  <si>
    <t>Structural &amp;amp; Mtls Eng (SME) Bldg</t>
  </si>
  <si>
    <t>Matthews Ln, La Jolla, CA 92093</t>
  </si>
  <si>
    <t>Lot P510</t>
  </si>
  <si>
    <t>Lot P701</t>
  </si>
  <si>
    <t>Lot P702</t>
  </si>
  <si>
    <t>Voigt Dr, La Jolla, CA 92093</t>
  </si>
  <si>
    <t>Campus Point Parking Structure</t>
  </si>
  <si>
    <t>One Miramar Street Parking Garage</t>
  </si>
  <si>
    <t>Lot P751</t>
  </si>
  <si>
    <t>Lot P760</t>
  </si>
  <si>
    <t>Regents Road West Lot</t>
  </si>
  <si>
    <t>La Jolla, CA 92037 (S side only)</t>
  </si>
  <si>
    <t>9500 Gilman Dr, La Jolla, CA 92037</t>
  </si>
  <si>
    <t>Regents Road NE Lot</t>
  </si>
  <si>
    <t>Regents Road E Lot</t>
  </si>
  <si>
    <t>Lot P761</t>
  </si>
  <si>
    <t>Lot P781</t>
  </si>
  <si>
    <t>Lot P782</t>
  </si>
  <si>
    <t>Lot P783</t>
  </si>
  <si>
    <t>3869 Miramar St, La Jolla, CA 92092</t>
  </si>
  <si>
    <t>3700 Miramar St, La Jolla, CA 92037</t>
  </si>
  <si>
    <t>Lot P103</t>
  </si>
  <si>
    <t>Lot P102</t>
  </si>
  <si>
    <t>The Shops at La Jolla Vlg</t>
  </si>
  <si>
    <t>8801-8879 Villa La Jolla Dr</t>
  </si>
  <si>
    <t>304 Medical Center Dr, La Jolla, CA 92037</t>
  </si>
  <si>
    <t>The Rack</t>
  </si>
  <si>
    <t>CVS-Whole Foods</t>
  </si>
  <si>
    <t>E of Rack pkg</t>
  </si>
  <si>
    <t>S of Rack pkg</t>
  </si>
  <si>
    <t>W of CVS-WF</t>
  </si>
  <si>
    <t>8707-8657 Villa La Jolla Dr</t>
  </si>
  <si>
    <t>La Jolla Vlg Square</t>
  </si>
  <si>
    <t>Ralph's-DSW</t>
  </si>
  <si>
    <t>La Jolla Vlg Sq Pkg N</t>
  </si>
  <si>
    <t>La Jolla Vlg Sq Pkg W</t>
  </si>
  <si>
    <t>La Jolla Vlg Sq Pkg E</t>
  </si>
  <si>
    <t>La Jolla Vlg Sq Pkg S</t>
  </si>
  <si>
    <t>ICA N/A</t>
  </si>
  <si>
    <t>Rose Canyon</t>
  </si>
  <si>
    <t>8300-8370 Camino Del Oro</t>
  </si>
  <si>
    <t>La Jolla Shores Beach Parking</t>
  </si>
  <si>
    <t>-</t>
  </si>
  <si>
    <t>Varying address forms</t>
  </si>
  <si>
    <t>4333 La Jolla Village Dr</t>
  </si>
  <si>
    <t>San Diego, CA 92122</t>
  </si>
  <si>
    <t>Macys</t>
  </si>
  <si>
    <t>Forever 21</t>
  </si>
  <si>
    <t>Pottery Barn</t>
  </si>
  <si>
    <t>Westfield UTC Shopping Ctr</t>
  </si>
  <si>
    <t>W_UTC Pkg 1</t>
  </si>
  <si>
    <t>W_UTC Pkg 2</t>
  </si>
  <si>
    <t>W_UTC Pkg 3</t>
  </si>
  <si>
    <t>W_UTC Pkg 4</t>
  </si>
  <si>
    <t>W_UTC Pkg 5</t>
  </si>
  <si>
    <t>W_UTC Pkg 6</t>
  </si>
  <si>
    <t>Illumina</t>
  </si>
  <si>
    <t>5200 Illumina Way</t>
  </si>
  <si>
    <t>Illumina Pkg 1</t>
  </si>
  <si>
    <t>Illumina Pkg 2</t>
  </si>
  <si>
    <t>Illumina Pkg 3</t>
  </si>
  <si>
    <t>Illumina bldg 1</t>
  </si>
  <si>
    <t>Unknown Biz Ctr</t>
  </si>
  <si>
    <t>5657 Copley Dr</t>
  </si>
  <si>
    <t>San Diego, CA 92111</t>
  </si>
  <si>
    <t>ATM Merchant Sys</t>
  </si>
  <si>
    <t>ATM Pkg</t>
  </si>
  <si>
    <t>Road Runner Sports</t>
  </si>
  <si>
    <t>UPS Customer Ctr</t>
  </si>
  <si>
    <t>7925 Ronson Rd</t>
  </si>
  <si>
    <t>Kearney</t>
  </si>
  <si>
    <t>Mesa Heights</t>
  </si>
  <si>
    <t>7803 Othello Ave</t>
  </si>
  <si>
    <t>Costco Business Ctr</t>
  </si>
  <si>
    <t>Costco Business Ctr Pkg</t>
  </si>
  <si>
    <t>Raytheon Bldg</t>
  </si>
  <si>
    <t>Raytheon Pkg 1</t>
  </si>
  <si>
    <t>Raytheon Pkg 2</t>
  </si>
  <si>
    <t>8650 Balboa Ave</t>
  </si>
  <si>
    <t>San Diego, CA 92123</t>
  </si>
  <si>
    <t>Raytheon Integrated Defense</t>
  </si>
  <si>
    <t>Solar Turbines Inc.</t>
  </si>
  <si>
    <t>4200 Ruffin Rd</t>
  </si>
  <si>
    <t>Solar Turbines Bldg</t>
  </si>
  <si>
    <t>Solar Turbines Pkg 1</t>
  </si>
  <si>
    <t>Solar Turbines Pkg 2</t>
  </si>
  <si>
    <t>Sharp Rees-Stealy Occupational Medicine Administrative Offices</t>
  </si>
  <si>
    <t>4000 Ruffin Rd</t>
  </si>
  <si>
    <t>American Red Cross San Diego/Imperial Counties</t>
  </si>
  <si>
    <t>3950 Calle Fortunada</t>
  </si>
  <si>
    <t>University of Phoenix - San Diego Campus</t>
  </si>
  <si>
    <t>9645 Granite Ridge Dr</t>
  </si>
  <si>
    <t>UoPhoenix Bldg W</t>
  </si>
  <si>
    <t>UoPhoenix Bldg S</t>
  </si>
  <si>
    <t>UoPhoenix Pkg Lot</t>
  </si>
  <si>
    <t>UoPhoenix Pkg Garage</t>
  </si>
  <si>
    <t>Shopping Ctr on Murphy Cyn Rd</t>
  </si>
  <si>
    <t>3382 Murphy Canyon Rd</t>
  </si>
  <si>
    <t>Von's</t>
  </si>
  <si>
    <t>Petsmart</t>
  </si>
  <si>
    <t>Murphy Cyn Pkg 1</t>
  </si>
  <si>
    <t>Murphy Cyn Pkg 2</t>
  </si>
  <si>
    <t>Frys Pkg</t>
  </si>
  <si>
    <t>Frys Bldg</t>
  </si>
  <si>
    <t>Frys Electronics</t>
  </si>
  <si>
    <t>9825 Stonecrest Blvd</t>
  </si>
  <si>
    <t>SDCCU Stadium</t>
  </si>
  <si>
    <t>9449 Friars Rd</t>
  </si>
  <si>
    <t>San Diego, CA 92108</t>
  </si>
  <si>
    <t>SDCCU Pkg 1</t>
  </si>
  <si>
    <t>SDCCU Pkg 2</t>
  </si>
  <si>
    <t>SDCCU Pkg 3</t>
  </si>
  <si>
    <t>SDCCU Pkg 4</t>
  </si>
  <si>
    <t>SDCCU Pkg 5</t>
  </si>
  <si>
    <t>SDCCU Pkg 6</t>
  </si>
  <si>
    <t>SDCCU Pkg 7</t>
  </si>
  <si>
    <t>SDCCU Pkg 8</t>
  </si>
  <si>
    <t>SDCCU Pkg 9</t>
  </si>
  <si>
    <t>SDCCU Pkg 10</t>
  </si>
  <si>
    <t>SDCCU Pkg 11</t>
  </si>
  <si>
    <t>SDCCU Pkg 12</t>
  </si>
  <si>
    <t>Fenton Marketplace</t>
  </si>
  <si>
    <t>2345 Fenton Pkwy</t>
  </si>
  <si>
    <t>Fenton Mktplc Pkg 1</t>
  </si>
  <si>
    <t>Fenton Mktplc Pkg 2</t>
  </si>
  <si>
    <t>Fenton Mktplc Pkg 3</t>
  </si>
  <si>
    <t>Fenton Mktplc Pkg 4</t>
  </si>
  <si>
    <t>Lowes</t>
  </si>
  <si>
    <t>Mission City Corporation Center</t>
  </si>
  <si>
    <t>2365 Northside Dr</t>
  </si>
  <si>
    <t>Mission City Corp Ctr Pkg 1</t>
  </si>
  <si>
    <t>Mission City Corp Ctr Pkg 2</t>
  </si>
  <si>
    <t>Water Quality Control Board</t>
  </si>
  <si>
    <t>Eastridge Workforce Solutions</t>
  </si>
  <si>
    <t>Offices at Camino Del Rio &amp;amp; Mission City</t>
  </si>
  <si>
    <t>3131 Camino Del Rio N</t>
  </si>
  <si>
    <t>irvinecompanyoffice.com</t>
  </si>
  <si>
    <t>Camino Del Rio &amp;amp; Mission City Pkg 1</t>
  </si>
  <si>
    <t>Camino Del Rio &amp;amp; Mission City Pkg 4</t>
  </si>
  <si>
    <t>Camino Del Rio &amp;amp; Mission City Pkg 2</t>
  </si>
  <si>
    <t>Camino Del Rio &amp;amp; Mission City Pkg 3</t>
  </si>
  <si>
    <t>Westfield Mission Valley</t>
  </si>
  <si>
    <t>1555 Camino De La Reina</t>
  </si>
  <si>
    <t>Park Valley Center</t>
  </si>
  <si>
    <t>1620 Camino De La Reina</t>
  </si>
  <si>
    <t>PVC Pkg 1</t>
  </si>
  <si>
    <t>PVC Pkg 2</t>
  </si>
  <si>
    <t>PVC Pkg 3</t>
  </si>
  <si>
    <t>PVC Pkg 4</t>
  </si>
  <si>
    <t>PVC Pkg 5</t>
  </si>
  <si>
    <t>PVC Pkg 6</t>
  </si>
  <si>
    <t>Scottish Rite Masonic</t>
  </si>
  <si>
    <t>1895 Camino del Rio S</t>
  </si>
  <si>
    <t>WMV W of Mission Ctr Rd Pkg 10</t>
  </si>
  <si>
    <t>WMV W of Mission Ctr Rd Pkg 11</t>
  </si>
  <si>
    <t>WMV W of Mission Ctr Rd Pkg 12</t>
  </si>
  <si>
    <t>WMV E of Mission Ctr Rd Pkg 1</t>
  </si>
  <si>
    <t>WMV E of Mission Ctr Rd Pkg 2</t>
  </si>
  <si>
    <t>WMV E of Mission Ctr Rd Pkg 3</t>
  </si>
  <si>
    <t>WMV E of Mission Ctr Rd Pkg 4</t>
  </si>
  <si>
    <t>WMV E of Mission Ctr Rd Pkg 5</t>
  </si>
  <si>
    <t>WMV E of Mission Ctr Rd Pkg 6</t>
  </si>
  <si>
    <t>WMV E of Mission Ctr Rd Pkg 7</t>
  </si>
  <si>
    <t>WMV E of Mission Ctr Rd Pkg 8</t>
  </si>
  <si>
    <t>WMV E of Mission Ctr Rd Pkg 9</t>
  </si>
  <si>
    <t>Courtesy Chevrolet</t>
  </si>
  <si>
    <t>750 Camino Del Rio N</t>
  </si>
  <si>
    <t>Courtesy Chevrolet Bldg 1</t>
  </si>
  <si>
    <t>Courtesy Chevrolet Bldg 2</t>
  </si>
  <si>
    <t>Courtesy Chevrolet Bldg 3</t>
  </si>
  <si>
    <t>Courtesy Chevrolet Pkg Lot</t>
  </si>
  <si>
    <t>Max of Ckt1_Cap_Avail</t>
  </si>
  <si>
    <t>Max of Ckt2_Cap_Avail</t>
  </si>
  <si>
    <t>Zone_ID_Col</t>
  </si>
  <si>
    <t>Home Depot Shopping Ctr</t>
  </si>
  <si>
    <t>5920 Fairmount Ave</t>
  </si>
  <si>
    <t>San Diego, CA 92120</t>
  </si>
  <si>
    <t>Home Depot bldg</t>
  </si>
  <si>
    <t>Home Depot pkg</t>
  </si>
  <si>
    <t>5980 Fairmount Ave</t>
  </si>
  <si>
    <t>5500 Campanile Dr</t>
  </si>
  <si>
    <t>San Diego, CA 92182</t>
  </si>
  <si>
    <t>San Diego State University</t>
  </si>
  <si>
    <t>Viejas Arena</t>
  </si>
  <si>
    <t>X Lot pkg N</t>
  </si>
  <si>
    <t>X Lot pkg S</t>
  </si>
  <si>
    <t>Aztec Cir Dr Garage</t>
  </si>
  <si>
    <t>GMap Zip 92115</t>
  </si>
  <si>
    <t>SDSU Recreational Turf Field</t>
  </si>
  <si>
    <t>Viejas Arena Pkg</t>
  </si>
  <si>
    <t>Parking Lot 9</t>
  </si>
  <si>
    <t>Aztec Rec Ctr</t>
  </si>
  <si>
    <t/>
  </si>
  <si>
    <t>Peterson Gym</t>
  </si>
  <si>
    <t>Cal Coast Amphitheater</t>
  </si>
  <si>
    <t>Build shade structure</t>
  </si>
  <si>
    <t>Don Powell Theatre</t>
  </si>
  <si>
    <t>Parking Lot 2</t>
  </si>
  <si>
    <t>Parking Lot 2A</t>
  </si>
  <si>
    <t>Parking Lot E</t>
  </si>
  <si>
    <t>Parking Garage 3</t>
  </si>
  <si>
    <t>Parking Garage 12</t>
  </si>
  <si>
    <t>Parking Garage 4</t>
  </si>
  <si>
    <t>Lindo Paseo Garage</t>
  </si>
  <si>
    <t>Parking Lot Q</t>
  </si>
  <si>
    <t>Carpet Tile &amp;amp; Flooring</t>
  </si>
  <si>
    <t>Parking Lot A N</t>
  </si>
  <si>
    <t>Parking Lot A S</t>
  </si>
  <si>
    <t>Jam Center Gym</t>
  </si>
  <si>
    <t>Goodall Alumni Center</t>
  </si>
  <si>
    <t>Parking Lot 5A</t>
  </si>
  <si>
    <t>Alvarado Medical Ctr W</t>
  </si>
  <si>
    <t xml:space="preserve">6475 Alvarado Rd </t>
  </si>
  <si>
    <t>AMCW Pkg Lot W</t>
  </si>
  <si>
    <t>AMCW Pkg Lot Mid</t>
  </si>
  <si>
    <t>AMCW Pkg Lot SE</t>
  </si>
  <si>
    <t>AMCW Bldg E</t>
  </si>
  <si>
    <t>AMCW Pkg Lot S</t>
  </si>
  <si>
    <t>AMCW Pharmacy</t>
  </si>
  <si>
    <t>Parking Lot C</t>
  </si>
  <si>
    <t>Parking Lot 17</t>
  </si>
  <si>
    <t>6655 Alvarado Rd</t>
  </si>
  <si>
    <t>Alvarado Hosp Pkg Garage</t>
  </si>
  <si>
    <t>Alvarado Hosp &amp;amp; Medical Plaza</t>
  </si>
  <si>
    <t>Alvarado Med Plaz Pkg Lot 1</t>
  </si>
  <si>
    <t>Alvarado Med Plaz Pkg Lot 2</t>
  </si>
  <si>
    <t>Alvarado Med Plaz Pkg Lot 3</t>
  </si>
  <si>
    <t>Alvarado Med Plaz Pkg Lot 4</t>
  </si>
  <si>
    <t>5555 Reservoir Dr</t>
  </si>
  <si>
    <t>Alvarado Medical Plaza Pharmacy</t>
  </si>
  <si>
    <t>Marketplace at the Grove Shopping Center</t>
  </si>
  <si>
    <t>3412 College Ave</t>
  </si>
  <si>
    <t>San Diego, CA 92115</t>
  </si>
  <si>
    <t>MGSC Pkg 1</t>
  </si>
  <si>
    <t>MGSC Pkg 2</t>
  </si>
  <si>
    <t>MGSC Pkg 3</t>
  </si>
  <si>
    <t>MGSC Pkg 4</t>
  </si>
  <si>
    <t>Kohls</t>
  </si>
  <si>
    <t>Sam Ash Music</t>
  </si>
  <si>
    <t>Sam's Club</t>
  </si>
  <si>
    <t>IKEA Warehouse Center</t>
  </si>
  <si>
    <t>IKEA Warehouse Pickup</t>
  </si>
  <si>
    <t>PODS</t>
  </si>
  <si>
    <t>Forward Air</t>
  </si>
  <si>
    <t>Davis Trucking</t>
  </si>
  <si>
    <t>7365 Mission Gorge Rd</t>
  </si>
  <si>
    <t>Saddle Crk Logistics</t>
  </si>
  <si>
    <t>Check:</t>
  </si>
  <si>
    <t>PV Sites</t>
  </si>
  <si>
    <t>Mission</t>
  </si>
  <si>
    <t>Friars</t>
  </si>
  <si>
    <t>Station F</t>
  </si>
  <si>
    <t>Murray</t>
  </si>
  <si>
    <t>Chollas West</t>
  </si>
  <si>
    <t>Elliot</t>
  </si>
  <si>
    <t xml:space="preserve">Mesa Nueva Graduate Community </t>
  </si>
  <si>
    <t>5680 Balboa Ave</t>
  </si>
  <si>
    <t>Home Depot Pkg</t>
  </si>
  <si>
    <t>Target Pkg</t>
  </si>
  <si>
    <t>Balboa Mesa Shopping Ctr</t>
  </si>
  <si>
    <t>Genesee Plaza Shopping Ctr</t>
  </si>
  <si>
    <t>5505 Balboa Ave</t>
  </si>
  <si>
    <t>BMS Parking 1</t>
  </si>
  <si>
    <t>BMS Parking 2</t>
  </si>
  <si>
    <t>BMS Parking 3</t>
  </si>
  <si>
    <t>BMS Parking 4</t>
  </si>
  <si>
    <t>San Diego Mesa College</t>
  </si>
  <si>
    <t>7250 Mesa College Dr</t>
  </si>
  <si>
    <t>SDMC Pkg 1A Existing</t>
  </si>
  <si>
    <t>SDMC Pkg 1B</t>
  </si>
  <si>
    <t>SDMC Pkg 2</t>
  </si>
  <si>
    <t>SDMC Pkg 3</t>
  </si>
  <si>
    <t>Kohls_Vons</t>
  </si>
  <si>
    <t>Clairmont</t>
  </si>
  <si>
    <t>Albertsons</t>
  </si>
  <si>
    <t>Albertsons Pkg</t>
  </si>
  <si>
    <t>Station B</t>
  </si>
  <si>
    <t>Urban</t>
  </si>
  <si>
    <t>Cross Border Express</t>
  </si>
  <si>
    <t>2745 Otay Pacific Drive</t>
  </si>
  <si>
    <t>Cross Border Pkg 1</t>
  </si>
  <si>
    <t>Cross Border 3 rooftops</t>
  </si>
  <si>
    <t>Cross Border Pkg 2</t>
  </si>
  <si>
    <t>Cross Border Pkg 3</t>
  </si>
  <si>
    <t>Cross Border Pkg 4</t>
  </si>
  <si>
    <t>SDMC Pkg 4</t>
  </si>
  <si>
    <t>SDMC Pkg 5</t>
  </si>
  <si>
    <t>SDMC Pkg 6</t>
  </si>
  <si>
    <t>SDMC Pkg 7</t>
  </si>
  <si>
    <t>SDMC Pkg 8</t>
  </si>
  <si>
    <t>Morena Plaza</t>
  </si>
  <si>
    <t>4605 Morena Blvd</t>
  </si>
  <si>
    <t>San Diego, CA 92117</t>
  </si>
  <si>
    <t>Costco Pkg N</t>
  </si>
  <si>
    <t>Costco Pkg S</t>
  </si>
  <si>
    <t>Costco Bldg N Corner</t>
  </si>
  <si>
    <t>Costco Bldg S Corner</t>
  </si>
  <si>
    <t>N Corner, W facing</t>
  </si>
  <si>
    <t>S Corner, W facing</t>
  </si>
  <si>
    <t>Substn Sort Key</t>
  </si>
  <si>
    <t>MCAS Miramar</t>
  </si>
  <si>
    <t>San Diego, CA 92145</t>
  </si>
  <si>
    <t>Miramar Way</t>
  </si>
  <si>
    <t>Miramar Pkg Lot 1</t>
  </si>
  <si>
    <t>MCAS RV Storage</t>
  </si>
  <si>
    <t>Miramar Pkg Lot 2</t>
  </si>
  <si>
    <t>Miramar Pkg Lot 3</t>
  </si>
  <si>
    <t>Miramar Pkg Lot 4</t>
  </si>
  <si>
    <t>Miramar Pkg Lot 5</t>
  </si>
  <si>
    <t>Miramar Pkg Lot 6</t>
  </si>
  <si>
    <t>Miramar Pkg Lot 7</t>
  </si>
  <si>
    <t>Miramar Pkg Lot 8</t>
  </si>
  <si>
    <t>Miramar Pkg Lot 9</t>
  </si>
  <si>
    <t>Miramar Pkg Lot 10</t>
  </si>
  <si>
    <t>Miramar Pkg Lot 11</t>
  </si>
  <si>
    <t>Miramar Pkg Lot 12</t>
  </si>
  <si>
    <t>Miramar Pkg Lot 13</t>
  </si>
  <si>
    <t>Miramar Pkg Lot 14</t>
  </si>
  <si>
    <t>Miramar Pkg Lot 15</t>
  </si>
  <si>
    <t>Miramar Pkg Lot 16</t>
  </si>
  <si>
    <t>Miramar Pkg Lot 17</t>
  </si>
  <si>
    <t>Miramar Pkg Lot 18</t>
  </si>
  <si>
    <t>Miramar Pkg Lot 19</t>
  </si>
  <si>
    <t>Miramar Pkg Lot 20</t>
  </si>
  <si>
    <t>Miramar Pkg Lot 21</t>
  </si>
  <si>
    <t>Miramar Pkg Lot 22</t>
  </si>
  <si>
    <t>Miramar Pkg Lot 25</t>
  </si>
  <si>
    <t>Miramar Pkg Lot 26</t>
  </si>
  <si>
    <t>Miramar Pkg Lot 27</t>
  </si>
  <si>
    <t>Miramar Pkg Lot 28</t>
  </si>
  <si>
    <t>Miramar Pkg Lot 29</t>
  </si>
  <si>
    <t>Miramar Pkg Lot 30</t>
  </si>
  <si>
    <t>Miramar Pkg Lot 31</t>
  </si>
  <si>
    <t>Miramar Pkg Lot 32</t>
  </si>
  <si>
    <t>Miramar Pkg Lot 33</t>
  </si>
  <si>
    <t>Miramar Pkg Lot 34</t>
  </si>
  <si>
    <t>Miramar Pkg Lot 35</t>
  </si>
  <si>
    <t>Miramar Pkg Lot 36</t>
  </si>
  <si>
    <t>Miramar Pkg Lot 37</t>
  </si>
  <si>
    <t>Miramar Pkg Lot 38</t>
  </si>
  <si>
    <t>Miramar Pkg Lot 39</t>
  </si>
  <si>
    <t>Miramar Pkg Lot 40</t>
  </si>
  <si>
    <t>Miramar Pkg Lot 41</t>
  </si>
  <si>
    <t>Miramar Pkg Lot 42</t>
  </si>
  <si>
    <t>Miramar Pkg Lot 43</t>
  </si>
  <si>
    <t>Miramar Pkg Lot 44</t>
  </si>
  <si>
    <t>Miramar Pkg Lot 45</t>
  </si>
  <si>
    <t>Miramar Pkg Lot 46</t>
  </si>
  <si>
    <t>Miramar Pkg Lot 47</t>
  </si>
  <si>
    <t>Miramar Pkg Lot 48</t>
  </si>
  <si>
    <t>Miramar Pkg Lot 49</t>
  </si>
  <si>
    <t>Miramar Pkg Lot 50</t>
  </si>
  <si>
    <t>Miramar Pkg Lot 51</t>
  </si>
  <si>
    <t>Miramar Pkg Lot 52</t>
  </si>
  <si>
    <t>Partial pkg lot coverage</t>
  </si>
  <si>
    <t>Miramar Pkg Lot 53</t>
  </si>
  <si>
    <t>Miramar Pkg Lot 54</t>
  </si>
  <si>
    <t>Miramar Pkg Lot 55</t>
  </si>
  <si>
    <t>Miramar Pkg Lot 56</t>
  </si>
  <si>
    <t>Miramar Pkg Lot 57</t>
  </si>
  <si>
    <t>Miramar Pkg Lot 58</t>
  </si>
  <si>
    <t>Miramar Pkg Lot 59</t>
  </si>
  <si>
    <t>Miramar Pkg Lot 60</t>
  </si>
  <si>
    <t>Miramar Pkg Lot 61</t>
  </si>
  <si>
    <t>Miramar Pkg Lot 62</t>
  </si>
  <si>
    <t>Miramar Pkg Lot 63</t>
  </si>
  <si>
    <t>Miramar Pkg Lot 64</t>
  </si>
  <si>
    <t>Miramar Pkg Lot 65</t>
  </si>
  <si>
    <t>Miramar Pkg Lot 66</t>
  </si>
  <si>
    <t>Miramar Pkg Lot 67</t>
  </si>
  <si>
    <t>Miramar Pkg Lot 68</t>
  </si>
  <si>
    <t>Miramar Pkg Lot 69</t>
  </si>
  <si>
    <t>Miramar Pkg Lot 71</t>
  </si>
  <si>
    <t>Miramar Pkg Lot 72</t>
  </si>
  <si>
    <t>Miramar Pkg Lot 73</t>
  </si>
  <si>
    <t>Miramar Pkg Lot 74</t>
  </si>
  <si>
    <t>Miramar Pkg Lot 75</t>
  </si>
  <si>
    <t>Miramar Pkg Lot 76</t>
  </si>
  <si>
    <t>Miramar Pkg Lot 77</t>
  </si>
  <si>
    <t>Miramar Pkg Lot 78</t>
  </si>
  <si>
    <t>Miramar Pkg Lot 79</t>
  </si>
  <si>
    <t>RV &amp;amp; boat storage</t>
  </si>
  <si>
    <t>FAA TRACON</t>
  </si>
  <si>
    <t>9175 Kearny Villa Rd</t>
  </si>
  <si>
    <t>San Diego, CA 92126</t>
  </si>
  <si>
    <t>Missing ICA</t>
  </si>
  <si>
    <t>Substation Minimal Impact
[MW]</t>
  </si>
  <si>
    <t>Substation Possible Impact
[MW]</t>
  </si>
  <si>
    <t>Substation Survey Siting Potential
 [MW]</t>
  </si>
  <si>
    <t>Feeder Survey Siting Potential
[MW]</t>
  </si>
  <si>
    <t>PV Feeder Minimal Impact 
[MW]</t>
  </si>
  <si>
    <t>PV Feeder Possible Impact 
[MW]</t>
  </si>
  <si>
    <t xml:space="preserve">Feeder ID  </t>
  </si>
  <si>
    <t xml:space="preserve"> Substation Name</t>
  </si>
  <si>
    <t>Naval Brig</t>
  </si>
  <si>
    <t>Castle Grayskull</t>
  </si>
  <si>
    <t>NE of Castle Grayskull</t>
  </si>
  <si>
    <t>Miramar Pkg Lot 80</t>
  </si>
  <si>
    <t>Miramar Pkg Lot 23 Brig</t>
  </si>
  <si>
    <t>Miramar Pkg Lot 24 Brig</t>
  </si>
  <si>
    <t>Naval Air Reserve Recruit</t>
  </si>
  <si>
    <t>W of Castle Grayskull</t>
  </si>
  <si>
    <t>S of Castle Grayskull</t>
  </si>
  <si>
    <t>NE of Ops Bldg</t>
  </si>
  <si>
    <t>Sparrow Rd &amp;amp; Phoenix</t>
  </si>
  <si>
    <t>Skylights</t>
  </si>
  <si>
    <t>Hangars</t>
  </si>
  <si>
    <t>E of Hangars</t>
  </si>
  <si>
    <t>NE of Barn Fitness Ctr</t>
  </si>
  <si>
    <t xml:space="preserve">E of NFCU </t>
  </si>
  <si>
    <t>Housing 1</t>
  </si>
  <si>
    <t>Housing 2</t>
  </si>
  <si>
    <t>Housing 3</t>
  </si>
  <si>
    <t>Unk Bldg E of Housing a</t>
  </si>
  <si>
    <t>Unk Bldg E of Housing b</t>
  </si>
  <si>
    <t>Unk Bldg E of Housing c</t>
  </si>
  <si>
    <t>Unk Bldg E of Housing d</t>
  </si>
  <si>
    <t>Unk Bldg E of Housing e</t>
  </si>
  <si>
    <t>Unk Bldg E of Housing f</t>
  </si>
  <si>
    <t>Miramar Pkg Lot 82</t>
  </si>
  <si>
    <t>Miramar Pkg Lot 70 Dental</t>
  </si>
  <si>
    <t>Dental Clinic</t>
  </si>
  <si>
    <t>E of Dental Clinic</t>
  </si>
  <si>
    <t>MCX</t>
  </si>
  <si>
    <t>Commissary</t>
  </si>
  <si>
    <t>Miramar Pkg Lot 81 Commissary_MCX</t>
  </si>
  <si>
    <t>MWSS 373</t>
  </si>
  <si>
    <t>E of MWSS 373</t>
  </si>
  <si>
    <t>N of MWSS 373</t>
  </si>
  <si>
    <t>NE1 of MWSS 373</t>
  </si>
  <si>
    <t>NE2 of MWSS 373</t>
  </si>
  <si>
    <t>Unk Bldg Bauer &amp;amp; Maxam</t>
  </si>
  <si>
    <t>Unk Bldg Phipps &amp;amp; Maxam</t>
  </si>
  <si>
    <t>Unk Huge Bldg Maxam</t>
  </si>
  <si>
    <t>Unk Bldg NW of USPS</t>
  </si>
  <si>
    <t>16550 W Bernardo Dr</t>
  </si>
  <si>
    <t>San Diego, CA 92127</t>
  </si>
  <si>
    <t>Northrop Grumman Bldg 8</t>
  </si>
  <si>
    <t>Pkg 1</t>
  </si>
  <si>
    <t>Pkg 2</t>
  </si>
  <si>
    <t>Pkg 3</t>
  </si>
  <si>
    <t>Menon</t>
  </si>
  <si>
    <t>Unknown Business Park</t>
  </si>
  <si>
    <t>Broadcom Pkg Lot</t>
  </si>
  <si>
    <t>16340 W Bernardo Dr</t>
  </si>
  <si>
    <t>HP Offices</t>
  </si>
  <si>
    <t>16399 W Bernardo Dr</t>
  </si>
  <si>
    <t>HP Offices-Existing PV</t>
  </si>
  <si>
    <t>HP Offices-Pkg 1</t>
  </si>
  <si>
    <t>HP Offices-Pkg 2</t>
  </si>
  <si>
    <t>HP Offices-Pkg 3</t>
  </si>
  <si>
    <t>HP Offices-Pkg 4</t>
  </si>
  <si>
    <t>HP Offices-Pkg 5</t>
  </si>
  <si>
    <t>Jerome's - Corp HQ / Distribution Center</t>
  </si>
  <si>
    <t>16960 Mesamint St</t>
  </si>
  <si>
    <t>Amazon DSD1 Warehouse</t>
  </si>
  <si>
    <t>16550 Via Esprillo</t>
  </si>
  <si>
    <t>Amazon DSD1 Warehouse Pkg</t>
  </si>
  <si>
    <t>Amazon DSD1 Warehouse Bldg</t>
  </si>
  <si>
    <t>General Atomics</t>
  </si>
  <si>
    <t>16761 Via Del Campo Ct</t>
  </si>
  <si>
    <t>General Atomics Aero</t>
  </si>
  <si>
    <t>General Atomics G-92</t>
  </si>
  <si>
    <t>General Atomics Pkg 1</t>
  </si>
  <si>
    <t>General Atomics Pkg 2</t>
  </si>
  <si>
    <t>General Atomics Pkg 3</t>
  </si>
  <si>
    <t>General Atomics Pkg 4</t>
  </si>
  <si>
    <t>General Atomics Pkg 5</t>
  </si>
  <si>
    <t>Eqpt cutouts</t>
  </si>
  <si>
    <t>Maranatha Chapel</t>
  </si>
  <si>
    <t>10752 Coastwood Rd</t>
  </si>
  <si>
    <t>Maranatha Chapel Bldg</t>
  </si>
  <si>
    <t>Maranatha Chapel Pkg W</t>
  </si>
  <si>
    <t>Maranatha Chapel Pkg E</t>
  </si>
  <si>
    <t>17170 Camino Del Sur</t>
  </si>
  <si>
    <t>Shopping Ctr Pkg 1</t>
  </si>
  <si>
    <t>Shopping Ctr Pkg 2</t>
  </si>
  <si>
    <t>Shopping Ctr Pkg 3</t>
  </si>
  <si>
    <t>Shopping Ctr Pkg 4</t>
  </si>
  <si>
    <t>Shopping Ctr Pkg 5</t>
  </si>
  <si>
    <t>Del Norte High School</t>
  </si>
  <si>
    <t>16601 Nighthawk Ln</t>
  </si>
  <si>
    <t>Del Norte HS Pkg 1</t>
  </si>
  <si>
    <t>Del Norte HS Pkg 2</t>
  </si>
  <si>
    <t>Del Norte HS Pkg 3</t>
  </si>
  <si>
    <t>Del Norte HS Pkg 4</t>
  </si>
  <si>
    <t>Costco Shopping Ctr</t>
  </si>
  <si>
    <t>12350 Carmel Mountain Rd</t>
  </si>
  <si>
    <t>San Diego, CA 92128</t>
  </si>
  <si>
    <t>Costco Main Bldg</t>
  </si>
  <si>
    <t>Costco Pkg Lot 1</t>
  </si>
  <si>
    <t>Costco Pkg Lot 2</t>
  </si>
  <si>
    <t>Costco Pkg Lot 3</t>
  </si>
  <si>
    <t>Costco Pkg Lot 4</t>
  </si>
  <si>
    <t>Margaret L. Sellers Processing and Distribution Center</t>
  </si>
  <si>
    <t>11251 Rancho Carmel Dr</t>
  </si>
  <si>
    <t>San Diego, CA 92199</t>
  </si>
  <si>
    <t>MLSellers Bldg 1</t>
  </si>
  <si>
    <t>MLSellers Bldg 2</t>
  </si>
  <si>
    <t>MLSellers Bldg 3</t>
  </si>
  <si>
    <t>MLSellers Bldg 4</t>
  </si>
  <si>
    <t>MLSellers Bldg 5</t>
  </si>
  <si>
    <t>MLSellers Pkg Lot 1</t>
  </si>
  <si>
    <t>MLSellers Pkg Lot 2</t>
  </si>
  <si>
    <t>MLSellers Pkg Lot 3</t>
  </si>
  <si>
    <t>Priority Moving</t>
  </si>
  <si>
    <t>12270 World Trade Dr</t>
  </si>
  <si>
    <t>Home Depot Bldg</t>
  </si>
  <si>
    <t>Home Depot Pkg 1</t>
  </si>
  <si>
    <t>Home Depot Pkg 2</t>
  </si>
  <si>
    <t>12185 Carmel Mountain Rd</t>
  </si>
  <si>
    <t>Carmel Mtn Plaza</t>
  </si>
  <si>
    <t>11602-12174 Carmel Mountain Rd</t>
  </si>
  <si>
    <t>Michaels</t>
  </si>
  <si>
    <t>Nordstrom Rack</t>
  </si>
  <si>
    <t>Carmel Mtn Plaza Pkg 1</t>
  </si>
  <si>
    <t>Carmel Mtn Plaza Pkg 2</t>
  </si>
  <si>
    <t>Carmel Mtn Plaza Pkg 3</t>
  </si>
  <si>
    <t>Carmel Mtn Plaza Pkg 4</t>
  </si>
  <si>
    <t>Carmel Mtn Plaza Pkg 5</t>
  </si>
  <si>
    <t>(former) Sports Authority</t>
  </si>
  <si>
    <t>Angelika Film Center</t>
  </si>
  <si>
    <t>Carmel Mtn Plaza Pkg 6</t>
  </si>
  <si>
    <t>Marshalls_Ross</t>
  </si>
  <si>
    <t xml:space="preserve">
11815 Carmel Mountain Rd</t>
  </si>
  <si>
    <t xml:space="preserve"> San Diego, CA 92128</t>
  </si>
  <si>
    <t>Carmel Mtn Ranch Town Ctr Pkg 1</t>
  </si>
  <si>
    <t>Carmel Mtn Ranch Town Ctr Pkg 2</t>
  </si>
  <si>
    <t>Carmel Mtn Ranch Town Ctr Pkg 3</t>
  </si>
  <si>
    <t>Carmel Mtn Ranch Town Center</t>
  </si>
  <si>
    <t>3611-3811 Valley Centre Dr</t>
  </si>
  <si>
    <t>San Diego, CA 92130</t>
  </si>
  <si>
    <t>Pharma_Medical Pkg Garage</t>
  </si>
  <si>
    <t>Artesian</t>
  </si>
  <si>
    <t>Primordial Genetics</t>
  </si>
  <si>
    <t>3550 General Atomics Ct</t>
  </si>
  <si>
    <t>San Diego, CA 92121</t>
  </si>
  <si>
    <t>Rev 14</t>
  </si>
  <si>
    <t>Primordial Gen Bldg</t>
  </si>
  <si>
    <t>Primordial Gen Pkg 1</t>
  </si>
  <si>
    <t>Primordial Gen Pkg 2</t>
  </si>
  <si>
    <t>Primordial Gen Pkg 3</t>
  </si>
  <si>
    <t>3/4 arc</t>
  </si>
  <si>
    <t>North City West</t>
  </si>
  <si>
    <t>Unclear if feeder extends into center of business park; two feeders in area</t>
  </si>
  <si>
    <t>Bernardo</t>
  </si>
  <si>
    <t>Distance is rough estimate; two feeders in area</t>
  </si>
  <si>
    <t>Two feeders in the area; 1104 and 1100</t>
  </si>
  <si>
    <t>Rancho Carmel</t>
  </si>
  <si>
    <t>12925 El Camino Real</t>
  </si>
  <si>
    <t>Del Mar Highlands Town Ctr</t>
  </si>
  <si>
    <t>Del Mar Highlands Pkg 1</t>
  </si>
  <si>
    <t>Del Mar Highlands Pkg 2</t>
  </si>
  <si>
    <t>Del Mar Highlands Pkg 3</t>
  </si>
  <si>
    <t>Del Mar Highlands Pkg 4</t>
  </si>
  <si>
    <t>Del Mar Highlands Pkg 5</t>
  </si>
  <si>
    <t>Del Mar Highlands Pkg 6</t>
  </si>
  <si>
    <t>Del Mar Highlands Pkg 7</t>
  </si>
  <si>
    <t>3710 Del Mar Heights Rd</t>
  </si>
  <si>
    <t>Torrey Pines High School</t>
  </si>
  <si>
    <t>Cathedral Catholic High School</t>
  </si>
  <si>
    <t>5555 Del Mar Heights Rd</t>
  </si>
  <si>
    <t>CCHS Pkg 1</t>
  </si>
  <si>
    <t>CCHS Pkg 2</t>
  </si>
  <si>
    <t>CCHS Pkg 3</t>
  </si>
  <si>
    <t>CCHS Pkg 4</t>
  </si>
  <si>
    <t>CCHS Pkg 5</t>
  </si>
  <si>
    <t>Westview High School</t>
  </si>
  <si>
    <t>13500 Camino Del Sur</t>
  </si>
  <si>
    <t>San Diego, CA 92129</t>
  </si>
  <si>
    <t>Westview HS Pkg 1</t>
  </si>
  <si>
    <t>Westview HS Pkg 2</t>
  </si>
  <si>
    <t>Near Black Mtn Ranch Park</t>
  </si>
  <si>
    <t>14700 Carmel Valley Rd</t>
  </si>
  <si>
    <t>9550 Carmel Mountain Rd</t>
  </si>
  <si>
    <t>10670 John J Hopkins Dr</t>
  </si>
  <si>
    <t>Unk at 10670 John J Hopkins Dr</t>
  </si>
  <si>
    <t>10670 John J Hopkins Pkg 1</t>
  </si>
  <si>
    <t>10670 John J Hopkins Pkg 2</t>
  </si>
  <si>
    <t>10670 John J Hopkins Pkg 3</t>
  </si>
  <si>
    <t>4161 Campus Point Ct</t>
  </si>
  <si>
    <t>Leidos Pkg</t>
  </si>
  <si>
    <t>Lilly Biotechnology Center</t>
  </si>
  <si>
    <t>10290 Campus Point Dr</t>
  </si>
  <si>
    <t>Lilly Biotech Ctr Pkg 1</t>
  </si>
  <si>
    <t>Lilly Biotech Ctr Pkg 2</t>
  </si>
  <si>
    <t>Lilly Biotech Ctr Pkg 3</t>
  </si>
  <si>
    <t>Lilly Biotech Ctr Pkg 4</t>
  </si>
  <si>
    <t>UCSD CALM</t>
  </si>
  <si>
    <t>10300 Campus Point Dr</t>
  </si>
  <si>
    <t>UCSD CALM Pkg 1</t>
  </si>
  <si>
    <t>UCSD CALM Pkg 2</t>
  </si>
  <si>
    <t>UCSD CALM Pkg 3</t>
  </si>
  <si>
    <t>UCSD CALM Pkg 4</t>
  </si>
  <si>
    <t>UCSD CALM Pkg 5</t>
  </si>
  <si>
    <t>Fedex Ground</t>
  </si>
  <si>
    <t>9999 Olson Dr</t>
  </si>
  <si>
    <t>7337 Trade St</t>
  </si>
  <si>
    <t>AT&amp;amp;T</t>
  </si>
  <si>
    <t>AT&amp;amp;T Existing PV</t>
  </si>
  <si>
    <t>AT&amp;amp;T Pkg 1</t>
  </si>
  <si>
    <t>AT&amp;amp;T Pkg 2</t>
  </si>
  <si>
    <t>Miramar Office_EBBradley</t>
  </si>
  <si>
    <t>9586 Distribution Ave</t>
  </si>
  <si>
    <t>North_South</t>
  </si>
  <si>
    <t>N_S</t>
  </si>
  <si>
    <t>S</t>
  </si>
  <si>
    <t>N</t>
  </si>
  <si>
    <t>Map resolution is poor; hard to see feeders</t>
  </si>
  <si>
    <t>E.B. Bradley</t>
  </si>
  <si>
    <t>AAA Packaging</t>
  </si>
  <si>
    <t>Champion Rhythmics</t>
  </si>
  <si>
    <t>Miramar Office Furniture</t>
  </si>
  <si>
    <t>OSC Solutions</t>
  </si>
  <si>
    <t>8221 Arjons Dr</t>
  </si>
  <si>
    <t>Mira Mesa Market Ctr</t>
  </si>
  <si>
    <t>10604 Westview Pkwy</t>
  </si>
  <si>
    <t>Mira Mesa Mkt Ctr Pkg 1</t>
  </si>
  <si>
    <t>Mira Mesa Mkt Ctr Pkg 2</t>
  </si>
  <si>
    <t>Mira Mesa Mkt Ctr Pkg 3</t>
  </si>
  <si>
    <t>Mira Mesa Mkt Ctr Pkg 4</t>
  </si>
  <si>
    <t>Mira Mesa Mkt Ctr Pkg 5</t>
  </si>
  <si>
    <t>Mira Mesa Mkt Ctr Pkg 6</t>
  </si>
  <si>
    <t>Mira Mesa Mkt Ctr Pkg 7</t>
  </si>
  <si>
    <t>Mira Mesa Mkt Ctr Pkg 8</t>
  </si>
  <si>
    <t>Barnes &amp;amp; Noble</t>
  </si>
  <si>
    <t>Vents</t>
  </si>
  <si>
    <t>10440 Black Mountain Rd</t>
  </si>
  <si>
    <t>San Diego Miramar College</t>
  </si>
  <si>
    <t>SDMC Pkg 1</t>
  </si>
  <si>
    <t>Mira Mesa Mall</t>
  </si>
  <si>
    <t>8110 - 8340 Camino Ruiz</t>
  </si>
  <si>
    <t xml:space="preserve"> San Diego, CA 92126</t>
  </si>
  <si>
    <t>BB&amp;amp;B_Marshalls</t>
  </si>
  <si>
    <t>Mira Mesa Mall Pkg 1</t>
  </si>
  <si>
    <t>Mira Mesa Lanes</t>
  </si>
  <si>
    <t>Mira Mesa Mall Pkg 2</t>
  </si>
  <si>
    <t>Mira Mesa Mall Pkg 3</t>
  </si>
  <si>
    <t>Mira Mesa Mall Pkg 4</t>
  </si>
  <si>
    <t>Mira Mesa Mall Pkg 5</t>
  </si>
  <si>
    <t>Arris Group</t>
  </si>
  <si>
    <t>6450 Sequence Dr</t>
  </si>
  <si>
    <t>Arris Group Bldg</t>
  </si>
  <si>
    <t>Arris Group Pkg 1</t>
  </si>
  <si>
    <t>Arris Group Pkg 2</t>
  </si>
  <si>
    <t>Arris Group Pkg 3</t>
  </si>
  <si>
    <t>Eastgate</t>
  </si>
  <si>
    <t>Mesa Rim</t>
  </si>
  <si>
    <t>Scripps</t>
  </si>
  <si>
    <t>multiple substations (484 and 435); different parkin structures not labeled</t>
  </si>
  <si>
    <t>two substations (830, 833)</t>
  </si>
  <si>
    <t>Chicarita</t>
  </si>
  <si>
    <t xml:space="preserve">Totals: </t>
  </si>
  <si>
    <t>kWhac/yr</t>
  </si>
  <si>
    <t xml:space="preserve">North: </t>
  </si>
  <si>
    <t xml:space="preserve">Total: </t>
  </si>
  <si>
    <t xml:space="preserve">Annual Production: </t>
  </si>
  <si>
    <t>San Diego Juvenile Probation</t>
  </si>
  <si>
    <t>2901 Meadow Lark Dr</t>
  </si>
  <si>
    <t>SDJuve Prob Roof</t>
  </si>
  <si>
    <t>SDJuve Prob Pkg Lot</t>
  </si>
  <si>
    <t>Diane Vlg Shopping Ctr</t>
  </si>
  <si>
    <t>4740 Clairemont Mesa Blvd</t>
  </si>
  <si>
    <t>Diane Vlg Shop Pkg</t>
  </si>
  <si>
    <t>John's Shoe Repair</t>
  </si>
  <si>
    <t>SDG&amp;amp;E Energy Innovation Ctr</t>
  </si>
  <si>
    <t>Ignores existing PV trees</t>
  </si>
  <si>
    <t>5301 55th St</t>
  </si>
  <si>
    <t>% of survey:</t>
  </si>
  <si>
    <t xml:space="preserve">South: </t>
  </si>
  <si>
    <t>% of total:</t>
  </si>
  <si>
    <t>Summary table of Integration Capacity Analysis data from SDG&amp;E regarding closest or best feeder for interconnection consideration.</t>
  </si>
  <si>
    <t>Not for casual editing.  Contains dynamic name ranges that are key to all summary calculations. Don't touch.</t>
  </si>
  <si>
    <t>7655 Clairemont Mesa Blvd</t>
  </si>
  <si>
    <t>Zion Market bldg</t>
  </si>
  <si>
    <t>Zion Market pkg lot</t>
  </si>
  <si>
    <t>Kearny Mesa Bowl bldg</t>
  </si>
  <si>
    <t>Kearny Mesa Bowl pkg</t>
  </si>
  <si>
    <t>Zion Market Shopping Ctr</t>
  </si>
  <si>
    <t>2920 Zoo Dr</t>
  </si>
  <si>
    <t>Costco Bldg</t>
  </si>
  <si>
    <t>Costco Pkg 1</t>
  </si>
  <si>
    <t>Costco Pkg 2</t>
  </si>
  <si>
    <t>Costco Pkg 3</t>
  </si>
  <si>
    <t>SDG&amp;E suspended ICA</t>
  </si>
  <si>
    <t>CalEnviroScreen Membership. Focus is on top quartile</t>
  </si>
  <si>
    <t>CES3Pctl</t>
  </si>
  <si>
    <t>CES3 proximity estimate</t>
  </si>
  <si>
    <t>CES3Pct_Col</t>
  </si>
  <si>
    <t>Min CES3.0:</t>
  </si>
  <si>
    <t>Total at top:</t>
  </si>
  <si>
    <t>Total fm ZIPs:</t>
  </si>
  <si>
    <t>kWhac/kWac PV/yr (from PVWatts). Note this for AC where system losses have been factored in. For kWp, which is DC before losses, it will be a lower value of about 1630 kWhac/kWp pV/yr.</t>
  </si>
  <si>
    <t>Marina Park Way + FAL Pkg Lot</t>
  </si>
  <si>
    <t>Marina Park Way Pkg Lot</t>
  </si>
  <si>
    <t>Fal Pkg Lot</t>
  </si>
  <si>
    <t>501 Convention Way</t>
  </si>
  <si>
    <t>San Diego Convention Ctr</t>
  </si>
  <si>
    <t>111 W Harbor Dr</t>
  </si>
  <si>
    <t>SD Conv Ctr Roof NW</t>
  </si>
  <si>
    <t>SD Conv Ctr Roof SE</t>
  </si>
  <si>
    <t>Naval SPAWAR OT3</t>
  </si>
  <si>
    <t>4301 Pacific Hwy</t>
  </si>
  <si>
    <t>SPAWAR OT3 Roof 1</t>
  </si>
  <si>
    <t>SPAWAR OT3 Roof 2</t>
  </si>
  <si>
    <t>SPAWAR OT3 Roof 3</t>
  </si>
  <si>
    <t>SPAWAR OT3 Existing</t>
  </si>
  <si>
    <t>Wheelie University</t>
  </si>
  <si>
    <t>2535 Midway Dr</t>
  </si>
  <si>
    <t>Wheelie University Roof</t>
  </si>
  <si>
    <t>Wheelie University Pkg Lot</t>
  </si>
  <si>
    <t>Point Loma Plaza</t>
  </si>
  <si>
    <t>3645 Midway Dr</t>
  </si>
  <si>
    <t>Point Loma Plaza Pkg</t>
  </si>
  <si>
    <t>Point Loma Plaza Vons</t>
  </si>
  <si>
    <t>Point Loma Plaza Marshalls</t>
  </si>
  <si>
    <t>889 W F St, San Diego</t>
  </si>
  <si>
    <t>644 Switzer St</t>
  </si>
  <si>
    <t>Next to Marine Inspection</t>
  </si>
  <si>
    <t>644(SE) Switzer St</t>
  </si>
  <si>
    <t>San Diego BNSF</t>
  </si>
  <si>
    <t>1342 Cesar E. Chavez Pkwy</t>
  </si>
  <si>
    <t>Navy Exchange</t>
  </si>
  <si>
    <t>34800 Bob Wilson Dr</t>
  </si>
  <si>
    <t>San Diego, CA 92134</t>
  </si>
  <si>
    <t>Navy Exchange Pkg 1</t>
  </si>
  <si>
    <t>Navy Exchange Pkg 2</t>
  </si>
  <si>
    <t>Navy Exchange Pkg 3</t>
  </si>
  <si>
    <t>Balboa Park Zoo Pkg</t>
  </si>
  <si>
    <t>Balboa Park Administration</t>
  </si>
  <si>
    <t>2125 Park Blvd</t>
  </si>
  <si>
    <t>Balboa Park Administration Pkg 1</t>
  </si>
  <si>
    <t>Balboa Park Administration Pkg 2</t>
  </si>
  <si>
    <t>City Operations Yard</t>
  </si>
  <si>
    <t>Tailgate Padres Pkg Lot</t>
  </si>
  <si>
    <t>K St &amp;amp; 12th Ave</t>
  </si>
  <si>
    <t>TD &amp;amp; Northrup</t>
  </si>
  <si>
    <t>17095 Via Del Campo</t>
  </si>
  <si>
    <t>Teradata Corp Roof</t>
  </si>
  <si>
    <t>Northrup Grumman Bldg #3 Roof</t>
  </si>
  <si>
    <t>Unk Bldg south</t>
  </si>
  <si>
    <t>NG3 Pkg Lot E</t>
  </si>
  <si>
    <t>TD Pkg Lot W</t>
  </si>
  <si>
    <t>Unk Bldg pkg lot S</t>
  </si>
  <si>
    <t>Summit at Rancho Bernardo</t>
  </si>
  <si>
    <t>16620 W Bernardo Dr</t>
  </si>
  <si>
    <t>Navy Broadway Complex</t>
  </si>
  <si>
    <t>Caminito Center</t>
  </si>
  <si>
    <t>Mercedes-Benz of San Diego</t>
  </si>
  <si>
    <t>4750 Kearny Mesa Rd</t>
  </si>
  <si>
    <t>Mercedes-Benz Pkg Lot S</t>
  </si>
  <si>
    <t>Mercedes-Benz Pkg Lot E</t>
  </si>
  <si>
    <t>Mercedes-Benz Bldg</t>
  </si>
  <si>
    <t>San Diego Registrar of Voters</t>
  </si>
  <si>
    <t>5600 Overland Ave</t>
  </si>
  <si>
    <t>SD Reg Voters Bldg</t>
  </si>
  <si>
    <t>SD Reg Voters Pkg Garage</t>
  </si>
  <si>
    <t>SD Reg Voters Pkg Lot</t>
  </si>
  <si>
    <t>AIS Data Centers</t>
  </si>
  <si>
    <t>9305 Lightwave Ave</t>
  </si>
  <si>
    <t>AIS Data Centers Pkg Lot</t>
  </si>
  <si>
    <t>AIS Data Centers Roof</t>
  </si>
  <si>
    <t>8611 Balboa Ave</t>
  </si>
  <si>
    <t>Kyocera Pkg Lot</t>
  </si>
  <si>
    <t>Sharp Human Resources</t>
  </si>
  <si>
    <t>Sharp HR Roof N</t>
  </si>
  <si>
    <t>Sharp HR Pkg Lot W</t>
  </si>
  <si>
    <t>Sharp HR Pkg Lot E</t>
  </si>
  <si>
    <t>Sharp HR Roof S</t>
  </si>
  <si>
    <t>8695 Spectrum Center Blvd</t>
  </si>
  <si>
    <t>San Diego Unified School District Physical Plant Operations Center</t>
  </si>
  <si>
    <t>4860 Ruffner St</t>
  </si>
  <si>
    <t>SD USD Pkg Lot E</t>
  </si>
  <si>
    <t>SD USD Pkg Lot S</t>
  </si>
  <si>
    <t>SD USD Pkg Lot N</t>
  </si>
  <si>
    <t>SD USD Dept of Transportation Pkg Lot</t>
  </si>
  <si>
    <t>4710 Cardin St</t>
  </si>
  <si>
    <t>Canopy over buses</t>
  </si>
  <si>
    <t>Qualcomm Bldg AC pkg lot</t>
  </si>
  <si>
    <t>9685 Scranton Rd</t>
  </si>
  <si>
    <t>Hologic, Inc. Pkg Lot</t>
  </si>
  <si>
    <t>10210 Genetic Center Dr</t>
  </si>
  <si>
    <t>Becton, Dickinson and Company (BD)</t>
  </si>
  <si>
    <t>3750 Torrey View Ct</t>
  </si>
  <si>
    <t>BD Pkg Lot NE</t>
  </si>
  <si>
    <t>BD Pkg Lot SW</t>
  </si>
  <si>
    <t>BD Pkg Lot NW</t>
  </si>
  <si>
    <t>BD Bldg W</t>
  </si>
  <si>
    <t>BD Bldg E</t>
  </si>
  <si>
    <t>Mt. Carmel High School Pkg Lot</t>
  </si>
  <si>
    <t>Rancho Penasquitos Towne Ctr</t>
  </si>
  <si>
    <t>13189 Black Mountain Rd</t>
  </si>
  <si>
    <t>Rancho Penasquitos TC Pkg Lot S</t>
  </si>
  <si>
    <t>Rancho Penasquitos TC Pkg Lot N</t>
  </si>
  <si>
    <t>Rancho Penasquitos Vons roof</t>
  </si>
  <si>
    <t>Scripps Ranch Marketplace</t>
  </si>
  <si>
    <t>1055 Scripps Poway Pkwy</t>
  </si>
  <si>
    <t>San Diego, CA 92131</t>
  </si>
  <si>
    <t>Scripps Ranch Mkt Pkg Lot</t>
  </si>
  <si>
    <t>Scripps Ranch Mkt Vons</t>
  </si>
  <si>
    <t>Crest Beverage</t>
  </si>
  <si>
    <t>8870 Liquid Ct</t>
  </si>
  <si>
    <t>Mission Beach Pkg Lot</t>
  </si>
  <si>
    <t>3071-3099 Ocean Front Walk</t>
  </si>
  <si>
    <t>Bonita Cove</t>
  </si>
  <si>
    <t>Bonita Cove Pkg W</t>
  </si>
  <si>
    <t>3021-3035 Mission Blvd</t>
  </si>
  <si>
    <t>Bonita Cove Pkg N</t>
  </si>
  <si>
    <t>Bonita Cove Pkg NE</t>
  </si>
  <si>
    <t>5405 University Ave</t>
  </si>
  <si>
    <t>San Diego, CA 92105</t>
  </si>
  <si>
    <t>Burlington Coat Factory</t>
  </si>
  <si>
    <t>Burlington Coat Bldg</t>
  </si>
  <si>
    <t>Burlington Coat Pkg Lot W</t>
  </si>
  <si>
    <t>Burlington Coat Pkg Lot N</t>
  </si>
  <si>
    <t>Marine Inspection &amp;amp; Logistics</t>
  </si>
  <si>
    <t>Vacation Isle Pkg Lot</t>
  </si>
  <si>
    <t>1406 Vacation Rd Pkg</t>
  </si>
  <si>
    <t>San Diego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</si>
</sst>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_(* #,##0_);_(* \(#,##0\);_(* &quot;-&quot;??_);_(@_)"/>
    <numFmt numFmtId="165" formatCode="00000"/>
    <numFmt numFmtId="166" formatCode="0;\ \-0;\ &quot;-&quot;"/>
    <numFmt numFmtId="167" formatCode="#,##0,\ &quot;kW&quot;;\ \-#,##0,\ &quot;kW&quot;;\ &quot;- kW&quot;"/>
    <numFmt numFmtId="168" formatCode="0.000000"/>
    <numFmt numFmtId="169" formatCode="0.0000000"/>
    <numFmt numFmtId="170" formatCode="0.000"/>
    <numFmt numFmtId="171" formatCode="#,##0,\ &quot;    &quot;;\ \-#,##0,\ &quot;    &quot;;\ &quot;-     &quot;"/>
    <numFmt numFmtId="172" formatCode="#,##0.00,,"/>
    <numFmt numFmtId="173" formatCode="_(* ###0_);_(* \(###0\);_(* &quot;-&quot;??_);_(@_)"/>
    <numFmt numFmtId="174" formatCode="0.0%"/>
  </numFmts>
  <fonts count="30" x14ac:knownFonts="1">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sz val="9"/>
      <color indexed="81"/>
      <name val="Tahoma"/>
      <family val="2"/>
    </font>
    <font>
      <b/>
      <sz val="9"/>
      <color indexed="81"/>
      <name val="Tahoma"/>
      <family val="2"/>
    </font>
    <font>
      <sz val="10"/>
      <color theme="1"/>
      <name val="Calibri"/>
      <family val="2"/>
      <scheme val="minor"/>
    </font>
    <font>
      <b/>
      <sz val="11"/>
      <color rgb="FFFF0000"/>
      <name val="Calibri"/>
      <family val="2"/>
      <scheme val="minor"/>
    </font>
    <font>
      <b/>
      <sz val="11"/>
      <color rgb="FF7030A0"/>
      <name val="Calibri"/>
      <family val="2"/>
      <scheme val="minor"/>
    </font>
    <font>
      <sz val="11"/>
      <color theme="4" tint="-0.499984740745262"/>
      <name val="Calibri"/>
      <family val="2"/>
      <scheme val="minor"/>
    </font>
    <font>
      <sz val="11"/>
      <color rgb="FF7030A0"/>
      <name val="Calibri"/>
      <family val="2"/>
      <scheme val="minor"/>
    </font>
    <font>
      <b/>
      <u/>
      <sz val="11"/>
      <color theme="1"/>
      <name val="Calibri"/>
      <family val="2"/>
      <scheme val="minor"/>
    </font>
    <font>
      <strike/>
      <sz val="11"/>
      <color theme="1"/>
      <name val="Calibri"/>
      <family val="2"/>
      <scheme val="minor"/>
    </font>
    <font>
      <b/>
      <sz val="14"/>
      <color theme="1"/>
      <name val="Calibri"/>
      <family val="2"/>
      <scheme val="minor"/>
    </font>
    <font>
      <u/>
      <sz val="11"/>
      <color theme="11"/>
      <name val="Calibri"/>
      <family val="2"/>
      <scheme val="minor"/>
    </font>
    <font>
      <sz val="11"/>
      <color rgb="FF000000"/>
      <name val="Calibri"/>
      <family val="2"/>
      <scheme val="minor"/>
    </font>
    <font>
      <sz val="8"/>
      <name val="Calibri"/>
      <family val="2"/>
      <scheme val="minor"/>
    </font>
    <font>
      <sz val="11"/>
      <color rgb="FFFF0000"/>
      <name val="Calibri"/>
      <family val="2"/>
      <scheme val="minor"/>
    </font>
    <font>
      <sz val="10"/>
      <color theme="1"/>
      <name val="Arial"/>
      <family val="2"/>
    </font>
    <font>
      <sz val="10"/>
      <name val="Arial"/>
      <family val="2"/>
    </font>
    <font>
      <b/>
      <sz val="11"/>
      <color theme="8" tint="-0.249977111117893"/>
      <name val="Calibri"/>
      <family val="2"/>
      <scheme val="minor"/>
    </font>
    <font>
      <b/>
      <sz val="11"/>
      <color theme="9" tint="-0.249977111117893"/>
      <name val="Calibri"/>
      <family val="2"/>
      <scheme val="minor"/>
    </font>
    <font>
      <sz val="11"/>
      <name val="Calibri"/>
      <family val="2"/>
      <scheme val="minor"/>
    </font>
    <font>
      <b/>
      <sz val="11"/>
      <color theme="0"/>
      <name val="Calibri"/>
      <family val="2"/>
      <scheme val="minor"/>
    </font>
    <font>
      <sz val="11"/>
      <color theme="0"/>
      <name val="Calibri"/>
      <family val="2"/>
      <scheme val="minor"/>
    </font>
    <font>
      <b/>
      <sz val="9"/>
      <color rgb="FF000000"/>
      <name val="Tahoma"/>
      <family val="2"/>
    </font>
    <font>
      <sz val="9"/>
      <color rgb="FF000000"/>
      <name val="Tahoma"/>
      <family val="2"/>
    </font>
    <font>
      <b/>
      <sz val="12"/>
      <color theme="1"/>
      <name val="Calibri"/>
      <family val="2"/>
      <scheme val="minor"/>
    </font>
    <font>
      <b/>
      <sz val="11"/>
      <name val="Calibri"/>
      <family val="2"/>
      <scheme val="minor"/>
    </font>
    <font>
      <sz val="11"/>
      <color rgb="FFFFFF00"/>
      <name val="Calibri"/>
      <family val="2"/>
      <scheme val="minor"/>
    </font>
  </fonts>
  <fills count="14">
    <fill>
      <patternFill patternType="none"/>
    </fill>
    <fill>
      <patternFill patternType="gray125"/>
    </fill>
    <fill>
      <patternFill patternType="solid">
        <fgColor theme="4"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FFC000"/>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9" tint="-0.249977111117893"/>
        <bgColor indexed="64"/>
      </patternFill>
    </fill>
  </fills>
  <borders count="18">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medium">
        <color indexed="64"/>
      </top>
      <bottom style="medium">
        <color auto="1"/>
      </bottom>
      <diagonal/>
    </border>
    <border>
      <left style="medium">
        <color auto="1"/>
      </left>
      <right/>
      <top style="medium">
        <color auto="1"/>
      </top>
      <bottom/>
      <diagonal/>
    </border>
    <border>
      <left/>
      <right/>
      <top style="medium">
        <color indexed="64"/>
      </top>
      <bottom/>
      <diagonal/>
    </border>
    <border>
      <left/>
      <right style="medium">
        <color auto="1"/>
      </right>
      <top style="medium">
        <color auto="1"/>
      </top>
      <bottom/>
      <diagonal/>
    </border>
    <border>
      <left/>
      <right/>
      <top/>
      <bottom style="medium">
        <color indexed="64"/>
      </bottom>
      <diagonal/>
    </border>
  </borders>
  <cellStyleXfs count="2916">
    <xf numFmtId="0" fontId="0" fillId="0" borderId="0"/>
    <xf numFmtId="43" fontId="1"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9" fontId="1" fillId="0" borderId="0" applyFont="0" applyFill="0" applyBorder="0" applyAlignment="0" applyProtection="0"/>
  </cellStyleXfs>
  <cellXfs count="177">
    <xf numFmtId="0" fontId="0" fillId="0" borderId="0" xfId="0"/>
    <xf numFmtId="0" fontId="3" fillId="0" borderId="0" xfId="0" applyFont="1"/>
    <xf numFmtId="0" fontId="2" fillId="0" borderId="0" xfId="0" applyFont="1"/>
    <xf numFmtId="0" fontId="2" fillId="0" borderId="0" xfId="0" applyFont="1" applyAlignment="1">
      <alignment horizontal="center"/>
    </xf>
    <xf numFmtId="0" fontId="0" fillId="0" borderId="0" xfId="0"/>
    <xf numFmtId="164" fontId="0" fillId="0" borderId="0" xfId="1" applyNumberFormat="1" applyFont="1"/>
    <xf numFmtId="0" fontId="0" fillId="0" borderId="0" xfId="0" applyAlignment="1">
      <alignment horizontal="center"/>
    </xf>
    <xf numFmtId="0" fontId="0" fillId="0" borderId="0" xfId="0" applyAlignment="1">
      <alignment horizontal="right"/>
    </xf>
    <xf numFmtId="0" fontId="0" fillId="0" borderId="0" xfId="0" applyFont="1" applyAlignment="1">
      <alignment horizontal="left"/>
    </xf>
    <xf numFmtId="166" fontId="0" fillId="0" borderId="1" xfId="0" applyNumberFormat="1" applyBorder="1" applyAlignment="1">
      <alignment horizontal="center"/>
    </xf>
    <xf numFmtId="0" fontId="0" fillId="5" borderId="0" xfId="0" applyFill="1"/>
    <xf numFmtId="0" fontId="2" fillId="2" borderId="0" xfId="0" applyFont="1" applyFill="1"/>
    <xf numFmtId="166" fontId="2" fillId="2" borderId="7" xfId="0" applyNumberFormat="1" applyFont="1" applyFill="1" applyBorder="1" applyAlignment="1">
      <alignment horizontal="center"/>
    </xf>
    <xf numFmtId="167" fontId="2" fillId="2" borderId="8" xfId="1" applyNumberFormat="1" applyFont="1" applyFill="1" applyBorder="1"/>
    <xf numFmtId="0" fontId="0" fillId="0" borderId="0" xfId="0" applyAlignment="1">
      <alignment wrapText="1"/>
    </xf>
    <xf numFmtId="0" fontId="0" fillId="6" borderId="0" xfId="0" applyFill="1"/>
    <xf numFmtId="166" fontId="0" fillId="6" borderId="0" xfId="0" applyNumberFormat="1" applyFill="1" applyAlignment="1">
      <alignment horizontal="center" vertical="center"/>
    </xf>
    <xf numFmtId="167" fontId="0" fillId="6" borderId="2" xfId="1" applyNumberFormat="1" applyFont="1" applyFill="1" applyBorder="1"/>
    <xf numFmtId="0" fontId="0" fillId="0" borderId="0" xfId="0" applyBorder="1"/>
    <xf numFmtId="167" fontId="0" fillId="6" borderId="0" xfId="1" applyNumberFormat="1" applyFont="1" applyFill="1" applyBorder="1"/>
    <xf numFmtId="0" fontId="0" fillId="6" borderId="0" xfId="0" applyFill="1" applyAlignment="1">
      <alignment horizontal="center"/>
    </xf>
    <xf numFmtId="0" fontId="2" fillId="0" borderId="0" xfId="0" applyFont="1" applyAlignment="1">
      <alignment vertical="top"/>
    </xf>
    <xf numFmtId="0" fontId="2" fillId="3" borderId="5" xfId="0" applyFont="1" applyFill="1" applyBorder="1" applyAlignment="1">
      <alignment horizontal="right"/>
    </xf>
    <xf numFmtId="0" fontId="2" fillId="3" borderId="6" xfId="0" applyFont="1" applyFill="1" applyBorder="1" applyAlignment="1">
      <alignment horizontal="right"/>
    </xf>
    <xf numFmtId="0" fontId="2" fillId="3" borderId="5" xfId="0" quotePrefix="1" applyFont="1" applyFill="1" applyBorder="1" applyAlignment="1">
      <alignment horizontal="right"/>
    </xf>
    <xf numFmtId="0" fontId="2" fillId="3" borderId="5" xfId="0" applyFont="1" applyFill="1" applyBorder="1" applyAlignment="1">
      <alignment horizontal="center"/>
    </xf>
    <xf numFmtId="164" fontId="2" fillId="3" borderId="5" xfId="1" applyNumberFormat="1" applyFont="1" applyFill="1" applyBorder="1"/>
    <xf numFmtId="166" fontId="0" fillId="0" borderId="3" xfId="0" applyNumberFormat="1" applyBorder="1" applyAlignment="1">
      <alignment horizontal="center"/>
    </xf>
    <xf numFmtId="0" fontId="0" fillId="0" borderId="0" xfId="0" applyAlignment="1">
      <alignment vertical="top"/>
    </xf>
    <xf numFmtId="0" fontId="0" fillId="0" borderId="0" xfId="0" applyAlignment="1">
      <alignment vertical="top" wrapText="1"/>
    </xf>
    <xf numFmtId="0" fontId="6" fillId="0" borderId="0" xfId="0" applyFont="1" applyAlignment="1">
      <alignment vertical="top" wrapText="1"/>
    </xf>
    <xf numFmtId="0" fontId="2" fillId="7" borderId="0" xfId="0" applyFont="1" applyFill="1" applyAlignment="1">
      <alignment vertical="top"/>
    </xf>
    <xf numFmtId="164" fontId="2" fillId="7" borderId="1" xfId="1" applyNumberFormat="1" applyFont="1" applyFill="1" applyBorder="1" applyAlignment="1">
      <alignment vertical="top"/>
    </xf>
    <xf numFmtId="164" fontId="2" fillId="7" borderId="0" xfId="1" applyNumberFormat="1" applyFont="1" applyFill="1" applyBorder="1" applyAlignment="1">
      <alignment vertical="top"/>
    </xf>
    <xf numFmtId="0" fontId="2" fillId="7" borderId="0" xfId="0" applyFont="1" applyFill="1" applyBorder="1" applyAlignment="1">
      <alignment vertical="top" wrapText="1"/>
    </xf>
    <xf numFmtId="0" fontId="2" fillId="7" borderId="0" xfId="0" applyFont="1" applyFill="1" applyBorder="1" applyAlignment="1">
      <alignment horizontal="center" vertical="top"/>
    </xf>
    <xf numFmtId="0" fontId="2" fillId="7" borderId="2" xfId="0" applyFont="1" applyFill="1" applyBorder="1" applyAlignment="1">
      <alignment horizontal="left" vertical="top" wrapText="1"/>
    </xf>
    <xf numFmtId="0" fontId="0" fillId="0" borderId="0" xfId="0" applyFont="1" applyAlignment="1">
      <alignment horizontal="left" vertical="center" wrapText="1"/>
    </xf>
    <xf numFmtId="0" fontId="2" fillId="0" borderId="0" xfId="0" applyFont="1" applyBorder="1"/>
    <xf numFmtId="0" fontId="2" fillId="0" borderId="0" xfId="0" applyFont="1" applyBorder="1" applyAlignment="1">
      <alignment horizontal="right"/>
    </xf>
    <xf numFmtId="0" fontId="0" fillId="0" borderId="1" xfId="0" applyBorder="1"/>
    <xf numFmtId="164" fontId="0" fillId="0" borderId="2" xfId="1" applyNumberFormat="1" applyFont="1" applyBorder="1" applyAlignment="1">
      <alignment vertical="top"/>
    </xf>
    <xf numFmtId="164" fontId="0" fillId="0" borderId="0" xfId="1" applyNumberFormat="1" applyFont="1" applyAlignment="1">
      <alignment vertical="top"/>
    </xf>
    <xf numFmtId="165" fontId="0" fillId="0" borderId="0" xfId="0" applyNumberFormat="1" applyAlignment="1">
      <alignment vertical="top"/>
    </xf>
    <xf numFmtId="168" fontId="0" fillId="0" borderId="0" xfId="0" applyNumberFormat="1" applyAlignment="1">
      <alignment vertical="top"/>
    </xf>
    <xf numFmtId="0" fontId="2" fillId="7" borderId="0" xfId="0" applyFont="1" applyFill="1" applyBorder="1" applyAlignment="1">
      <alignment vertical="top"/>
    </xf>
    <xf numFmtId="2" fontId="0" fillId="0" borderId="0" xfId="0" applyNumberFormat="1" applyAlignment="1">
      <alignment vertical="top"/>
    </xf>
    <xf numFmtId="0" fontId="0" fillId="0" borderId="0" xfId="0" applyAlignment="1">
      <alignment horizontal="left" indent="1"/>
    </xf>
    <xf numFmtId="164" fontId="0" fillId="0" borderId="0" xfId="0" applyNumberFormat="1" applyAlignment="1">
      <alignment vertical="top"/>
    </xf>
    <xf numFmtId="164" fontId="0" fillId="0" borderId="0" xfId="1" applyNumberFormat="1" applyFont="1" applyAlignment="1">
      <alignment horizontal="center"/>
    </xf>
    <xf numFmtId="164" fontId="0" fillId="0" borderId="0" xfId="1" applyNumberFormat="1" applyFont="1" applyAlignment="1"/>
    <xf numFmtId="164" fontId="9" fillId="0" borderId="0" xfId="1" applyNumberFormat="1" applyFont="1"/>
    <xf numFmtId="164" fontId="9" fillId="0" borderId="0" xfId="1" applyNumberFormat="1" applyFont="1" applyAlignment="1">
      <alignment vertical="top"/>
    </xf>
    <xf numFmtId="0" fontId="10" fillId="5" borderId="0" xfId="0" applyFont="1" applyFill="1"/>
    <xf numFmtId="0" fontId="2" fillId="2" borderId="0" xfId="0" applyFont="1" applyFill="1" applyAlignment="1">
      <alignment horizontal="right"/>
    </xf>
    <xf numFmtId="0" fontId="0" fillId="8" borderId="0" xfId="0" applyFill="1" applyAlignment="1">
      <alignment horizontal="center"/>
    </xf>
    <xf numFmtId="0" fontId="0" fillId="0" borderId="0" xfId="0" applyAlignment="1">
      <alignment horizontal="left"/>
    </xf>
    <xf numFmtId="0" fontId="2" fillId="0" borderId="0" xfId="0" applyFont="1" applyBorder="1" applyAlignment="1">
      <alignment horizontal="center"/>
    </xf>
    <xf numFmtId="0" fontId="12" fillId="0" borderId="0" xfId="0" applyFont="1"/>
    <xf numFmtId="0" fontId="0" fillId="0" borderId="0" xfId="0" applyFont="1"/>
    <xf numFmtId="0" fontId="6" fillId="0" borderId="0" xfId="0" applyFont="1" applyAlignment="1">
      <alignment horizontal="left" vertical="top" wrapText="1"/>
    </xf>
    <xf numFmtId="168" fontId="0" fillId="0" borderId="0" xfId="0" applyNumberFormat="1" applyAlignment="1">
      <alignment horizontal="left" vertical="top"/>
    </xf>
    <xf numFmtId="0" fontId="0" fillId="0" borderId="0" xfId="0" applyAlignment="1">
      <alignment horizontal="left" vertical="top"/>
    </xf>
    <xf numFmtId="0" fontId="2" fillId="7" borderId="1" xfId="0" applyFont="1" applyFill="1" applyBorder="1" applyAlignment="1">
      <alignment horizontal="center" vertical="top"/>
    </xf>
    <xf numFmtId="0" fontId="2" fillId="0" borderId="0" xfId="0" applyFont="1" applyAlignment="1">
      <alignment horizontal="left"/>
    </xf>
    <xf numFmtId="0" fontId="13" fillId="0" borderId="0" xfId="0" applyFont="1"/>
    <xf numFmtId="0" fontId="0" fillId="0" borderId="4" xfId="0" applyBorder="1"/>
    <xf numFmtId="0" fontId="0" fillId="0" borderId="0" xfId="0" applyNumberFormat="1"/>
    <xf numFmtId="0" fontId="2" fillId="3" borderId="5" xfId="0" quotePrefix="1" applyFont="1" applyFill="1" applyBorder="1" applyAlignment="1">
      <alignment horizontal="center"/>
    </xf>
    <xf numFmtId="0" fontId="2" fillId="0" borderId="0" xfId="0" applyFont="1" applyBorder="1" applyAlignment="1">
      <alignment horizontal="left"/>
    </xf>
    <xf numFmtId="169" fontId="0" fillId="0" borderId="0" xfId="0" applyNumberFormat="1" applyAlignment="1">
      <alignment horizontal="left" vertical="top"/>
    </xf>
    <xf numFmtId="0" fontId="0" fillId="0" borderId="0" xfId="0" applyFill="1"/>
    <xf numFmtId="0" fontId="2" fillId="0" borderId="0" xfId="0" applyFont="1" applyAlignment="1">
      <alignment vertical="top" wrapText="1"/>
    </xf>
    <xf numFmtId="170" fontId="0" fillId="0" borderId="0" xfId="0" applyNumberFormat="1" applyAlignment="1">
      <alignment vertical="top"/>
    </xf>
    <xf numFmtId="0" fontId="2" fillId="7" borderId="2" xfId="0" applyFont="1" applyFill="1" applyBorder="1" applyAlignment="1">
      <alignment vertical="top"/>
    </xf>
    <xf numFmtId="0" fontId="0" fillId="0" borderId="0" xfId="0" applyFont="1" applyAlignment="1">
      <alignment vertical="top"/>
    </xf>
    <xf numFmtId="168" fontId="0" fillId="0" borderId="0" xfId="0" applyNumberFormat="1" applyFill="1" applyAlignment="1">
      <alignment vertical="top"/>
    </xf>
    <xf numFmtId="0" fontId="0" fillId="0" borderId="0" xfId="0" applyFill="1" applyAlignment="1">
      <alignment vertical="top"/>
    </xf>
    <xf numFmtId="0" fontId="15" fillId="0" borderId="0" xfId="0" applyFont="1" applyAlignment="1">
      <alignment vertical="top"/>
    </xf>
    <xf numFmtId="0" fontId="0" fillId="0" borderId="0" xfId="0" applyAlignment="1">
      <alignment horizontal="right" vertical="top"/>
    </xf>
    <xf numFmtId="168" fontId="15" fillId="0" borderId="0" xfId="0" applyNumberFormat="1" applyFont="1" applyAlignment="1">
      <alignment vertical="top"/>
    </xf>
    <xf numFmtId="2" fontId="0" fillId="0" borderId="0" xfId="0" applyNumberFormat="1" applyFill="1" applyAlignment="1">
      <alignment vertical="top"/>
    </xf>
    <xf numFmtId="0" fontId="2" fillId="0" borderId="3" xfId="0" applyFont="1" applyBorder="1" applyAlignment="1">
      <alignment horizontal="center"/>
    </xf>
    <xf numFmtId="167" fontId="2" fillId="3" borderId="6" xfId="1" applyNumberFormat="1" applyFont="1" applyFill="1" applyBorder="1"/>
    <xf numFmtId="166" fontId="2" fillId="11" borderId="7" xfId="0" applyNumberFormat="1" applyFont="1" applyFill="1" applyBorder="1" applyAlignment="1">
      <alignment horizontal="center"/>
    </xf>
    <xf numFmtId="0" fontId="2" fillId="12" borderId="5" xfId="0" applyFont="1" applyFill="1" applyBorder="1" applyAlignment="1">
      <alignment horizontal="center"/>
    </xf>
    <xf numFmtId="0" fontId="2" fillId="13" borderId="5" xfId="0" applyFont="1" applyFill="1" applyBorder="1" applyAlignment="1">
      <alignment horizontal="center"/>
    </xf>
    <xf numFmtId="167" fontId="2" fillId="11" borderId="8" xfId="1" applyNumberFormat="1" applyFont="1" applyFill="1" applyBorder="1"/>
    <xf numFmtId="0" fontId="2" fillId="12" borderId="6" xfId="0" applyFont="1" applyFill="1" applyBorder="1" applyAlignment="1">
      <alignment horizontal="right"/>
    </xf>
    <xf numFmtId="171" fontId="0" fillId="0" borderId="2" xfId="1" applyNumberFormat="1" applyFont="1" applyBorder="1"/>
    <xf numFmtId="171" fontId="0" fillId="0" borderId="4" xfId="1" applyNumberFormat="1" applyFont="1" applyBorder="1"/>
    <xf numFmtId="171" fontId="2" fillId="2" borderId="8" xfId="1" applyNumberFormat="1" applyFont="1" applyFill="1" applyBorder="1"/>
    <xf numFmtId="171" fontId="2" fillId="11" borderId="8" xfId="1" applyNumberFormat="1" applyFont="1" applyFill="1" applyBorder="1"/>
    <xf numFmtId="0" fontId="2" fillId="3" borderId="5" xfId="0" applyFont="1" applyFill="1" applyBorder="1" applyAlignment="1">
      <alignment horizontal="center"/>
    </xf>
    <xf numFmtId="171" fontId="0" fillId="0" borderId="0" xfId="0" applyNumberFormat="1"/>
    <xf numFmtId="0" fontId="0" fillId="0" borderId="0" xfId="0" applyFont="1" applyAlignment="1">
      <alignment horizontal="left" indent="1"/>
    </xf>
    <xf numFmtId="165" fontId="6" fillId="4" borderId="0" xfId="0" applyNumberFormat="1" applyFont="1" applyFill="1" applyAlignment="1">
      <alignment vertical="top" wrapText="1"/>
    </xf>
    <xf numFmtId="168" fontId="15" fillId="0" borderId="0" xfId="0" quotePrefix="1" applyNumberFormat="1" applyFont="1" applyAlignment="1">
      <alignment vertical="top"/>
    </xf>
    <xf numFmtId="0" fontId="0" fillId="0" borderId="0" xfId="0" applyAlignment="1">
      <alignment horizontal="left" vertical="top" indent="1"/>
    </xf>
    <xf numFmtId="168" fontId="0" fillId="0" borderId="0" xfId="0" quotePrefix="1" applyNumberFormat="1" applyAlignment="1">
      <alignment vertical="top"/>
    </xf>
    <xf numFmtId="2" fontId="17" fillId="0" borderId="0" xfId="0" applyNumberFormat="1" applyFont="1" applyAlignment="1">
      <alignment vertical="top"/>
    </xf>
    <xf numFmtId="0" fontId="0" fillId="0" borderId="0" xfId="0" quotePrefix="1" applyFont="1" applyAlignment="1">
      <alignment vertical="top"/>
    </xf>
    <xf numFmtId="0" fontId="0" fillId="0" borderId="0" xfId="0" quotePrefix="1" applyAlignment="1">
      <alignment vertical="top"/>
    </xf>
    <xf numFmtId="0" fontId="15" fillId="0" borderId="0" xfId="0" applyFont="1" applyAlignment="1">
      <alignment horizontal="left" vertical="top" indent="1"/>
    </xf>
    <xf numFmtId="43" fontId="2" fillId="7" borderId="0" xfId="1" applyFont="1" applyFill="1" applyBorder="1" applyAlignment="1">
      <alignment vertical="top" wrapText="1"/>
    </xf>
    <xf numFmtId="43" fontId="0" fillId="0" borderId="0" xfId="1" applyFont="1" applyAlignment="1">
      <alignment vertical="top"/>
    </xf>
    <xf numFmtId="0" fontId="0" fillId="0" borderId="0" xfId="0" applyFont="1" applyAlignment="1">
      <alignment vertical="top" wrapText="1"/>
    </xf>
    <xf numFmtId="0" fontId="18" fillId="0" borderId="0" xfId="0" applyFont="1"/>
    <xf numFmtId="0" fontId="2" fillId="3" borderId="7" xfId="0" applyFont="1" applyFill="1" applyBorder="1" applyAlignment="1">
      <alignment horizontal="center"/>
    </xf>
    <xf numFmtId="0" fontId="2" fillId="3" borderId="13" xfId="0" applyFont="1" applyFill="1" applyBorder="1" applyAlignment="1">
      <alignment horizontal="center"/>
    </xf>
    <xf numFmtId="0" fontId="3" fillId="0" borderId="0" xfId="0" applyFont="1" applyAlignment="1">
      <alignment horizontal="right"/>
    </xf>
    <xf numFmtId="9" fontId="3" fillId="0" borderId="0" xfId="0" applyNumberFormat="1" applyFont="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171" fontId="0" fillId="0" borderId="16" xfId="1" applyNumberFormat="1" applyFont="1" applyBorder="1"/>
    <xf numFmtId="0" fontId="2" fillId="0" borderId="1" xfId="0" applyFont="1" applyBorder="1" applyAlignment="1">
      <alignment horizontal="center"/>
    </xf>
    <xf numFmtId="0" fontId="2" fillId="0" borderId="17" xfId="0" applyFont="1" applyBorder="1" applyAlignment="1">
      <alignment horizontal="center"/>
    </xf>
    <xf numFmtId="0" fontId="2" fillId="3" borderId="8" xfId="0" applyFont="1" applyFill="1" applyBorder="1" applyAlignment="1">
      <alignment horizontal="center"/>
    </xf>
    <xf numFmtId="0" fontId="19" fillId="0" borderId="0" xfId="0" applyFont="1" applyAlignment="1">
      <alignment horizontal="left" vertical="center" wrapText="1"/>
    </xf>
    <xf numFmtId="0" fontId="18" fillId="0" borderId="0" xfId="0" applyFont="1" applyAlignment="1"/>
    <xf numFmtId="168" fontId="0" fillId="0" borderId="0" xfId="0" applyNumberFormat="1" applyAlignment="1">
      <alignment vertical="top" wrapText="1"/>
    </xf>
    <xf numFmtId="0" fontId="0" fillId="0" borderId="0" xfId="0" pivotButton="1"/>
    <xf numFmtId="0" fontId="0" fillId="0" borderId="0" xfId="0" quotePrefix="1" applyAlignment="1">
      <alignment horizontal="left" vertical="top" indent="1"/>
    </xf>
    <xf numFmtId="168" fontId="0" fillId="0" borderId="1" xfId="0" applyNumberFormat="1" applyFont="1" applyFill="1" applyBorder="1" applyAlignment="1">
      <alignment horizontal="center" vertical="top"/>
    </xf>
    <xf numFmtId="172" fontId="0" fillId="2" borderId="12" xfId="1" applyNumberFormat="1" applyFont="1" applyFill="1" applyBorder="1" applyAlignment="1">
      <alignment horizontal="center"/>
    </xf>
    <xf numFmtId="2" fontId="0" fillId="4" borderId="12" xfId="1" applyNumberFormat="1" applyFont="1" applyFill="1" applyBorder="1" applyAlignment="1">
      <alignment horizontal="center"/>
    </xf>
    <xf numFmtId="0" fontId="20" fillId="9" borderId="9" xfId="0" applyFont="1" applyFill="1" applyBorder="1" applyAlignment="1">
      <alignment horizontal="center" vertical="center" wrapText="1"/>
    </xf>
    <xf numFmtId="0" fontId="21" fillId="9" borderId="9" xfId="0" applyFont="1" applyFill="1" applyBorder="1" applyAlignment="1">
      <alignment horizontal="center" vertical="center" wrapText="1"/>
    </xf>
    <xf numFmtId="0" fontId="21" fillId="9" borderId="11"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9" xfId="0" applyFill="1" applyBorder="1" applyAlignment="1">
      <alignment horizontal="center" vertical="center" wrapText="1"/>
    </xf>
    <xf numFmtId="0" fontId="0" fillId="2" borderId="9" xfId="0" applyFill="1" applyBorder="1" applyAlignment="1">
      <alignment horizontal="right" vertical="center" wrapText="1"/>
    </xf>
    <xf numFmtId="0" fontId="20" fillId="9" borderId="9" xfId="0" applyFont="1" applyFill="1" applyBorder="1" applyAlignment="1">
      <alignment horizontal="left" vertical="center" wrapText="1"/>
    </xf>
    <xf numFmtId="165" fontId="2" fillId="7" borderId="1" xfId="0" applyNumberFormat="1" applyFont="1" applyFill="1" applyBorder="1" applyAlignment="1">
      <alignment horizontal="center" vertical="center"/>
    </xf>
    <xf numFmtId="0" fontId="2" fillId="7" borderId="0" xfId="0" applyFont="1" applyFill="1" applyBorder="1" applyAlignment="1">
      <alignment vertical="center" wrapText="1"/>
    </xf>
    <xf numFmtId="164" fontId="2" fillId="7" borderId="0" xfId="1" applyNumberFormat="1" applyFont="1" applyFill="1" applyBorder="1" applyAlignment="1">
      <alignment vertical="center"/>
    </xf>
    <xf numFmtId="0" fontId="13" fillId="0" borderId="0" xfId="0" applyFont="1" applyAlignment="1">
      <alignment horizontal="center"/>
    </xf>
    <xf numFmtId="0" fontId="2" fillId="2" borderId="0" xfId="0" applyFont="1" applyFill="1" applyAlignment="1">
      <alignment horizontal="center"/>
    </xf>
    <xf numFmtId="0" fontId="3" fillId="0" borderId="0" xfId="0" applyFont="1" applyAlignment="1">
      <alignment horizontal="center"/>
    </xf>
    <xf numFmtId="0" fontId="12" fillId="0" borderId="0" xfId="0" applyFont="1" applyAlignment="1">
      <alignment horizontal="center"/>
    </xf>
    <xf numFmtId="0" fontId="6" fillId="0" borderId="0" xfId="0" applyFont="1" applyAlignment="1">
      <alignment horizontal="center" vertical="top" wrapText="1"/>
    </xf>
    <xf numFmtId="0" fontId="2" fillId="7" borderId="0" xfId="0" applyFont="1" applyFill="1" applyAlignment="1">
      <alignment horizontal="center" vertical="top"/>
    </xf>
    <xf numFmtId="0" fontId="0" fillId="0" borderId="0" xfId="0" applyAlignment="1">
      <alignment horizontal="center" vertical="top"/>
    </xf>
    <xf numFmtId="166" fontId="23" fillId="10" borderId="7" xfId="0" applyNumberFormat="1" applyFont="1" applyFill="1" applyBorder="1" applyAlignment="1">
      <alignment horizontal="center"/>
    </xf>
    <xf numFmtId="0" fontId="24" fillId="0" borderId="0" xfId="0" applyFont="1"/>
    <xf numFmtId="0" fontId="27" fillId="2" borderId="0" xfId="0" applyFont="1" applyFill="1" applyAlignment="1">
      <alignment horizontal="right"/>
    </xf>
    <xf numFmtId="164" fontId="0" fillId="2" borderId="0" xfId="1" applyNumberFormat="1" applyFont="1" applyFill="1" applyBorder="1" applyAlignment="1">
      <alignment horizontal="left"/>
    </xf>
    <xf numFmtId="172" fontId="0" fillId="2" borderId="0" xfId="1" applyNumberFormat="1" applyFont="1" applyFill="1" applyBorder="1" applyAlignment="1">
      <alignment horizontal="center"/>
    </xf>
    <xf numFmtId="2" fontId="0" fillId="4" borderId="0" xfId="1" applyNumberFormat="1" applyFont="1" applyFill="1" applyBorder="1" applyAlignment="1">
      <alignment horizontal="center"/>
    </xf>
    <xf numFmtId="0" fontId="2" fillId="0" borderId="0" xfId="0" applyFont="1" applyBorder="1" applyAlignment="1">
      <alignment horizontal="center" vertical="center"/>
    </xf>
    <xf numFmtId="0" fontId="0" fillId="0" borderId="0" xfId="0" applyFill="1" applyBorder="1"/>
    <xf numFmtId="0" fontId="24" fillId="0" borderId="0" xfId="0" applyFont="1" applyAlignment="1">
      <alignment horizontal="center"/>
    </xf>
    <xf numFmtId="166" fontId="0" fillId="0" borderId="0" xfId="0" applyNumberFormat="1"/>
    <xf numFmtId="0" fontId="2" fillId="0" borderId="0" xfId="0" applyFont="1" applyAlignment="1">
      <alignment horizontal="right"/>
    </xf>
    <xf numFmtId="173" fontId="0" fillId="2" borderId="12" xfId="1" applyNumberFormat="1" applyFont="1" applyFill="1" applyBorder="1" applyAlignment="1">
      <alignment horizontal="left"/>
    </xf>
    <xf numFmtId="0" fontId="22" fillId="0" borderId="0" xfId="0" applyFont="1"/>
    <xf numFmtId="0" fontId="28" fillId="0" borderId="0" xfId="0" applyFont="1"/>
    <xf numFmtId="2" fontId="29" fillId="0" borderId="0" xfId="0" applyNumberFormat="1" applyFont="1" applyAlignment="1">
      <alignment vertical="top"/>
    </xf>
    <xf numFmtId="164" fontId="2" fillId="0" borderId="0" xfId="1" applyNumberFormat="1" applyFont="1"/>
    <xf numFmtId="0" fontId="2" fillId="0" borderId="2" xfId="0" applyFont="1" applyBorder="1"/>
    <xf numFmtId="174" fontId="0" fillId="0" borderId="0" xfId="2915" applyNumberFormat="1" applyFont="1"/>
    <xf numFmtId="174" fontId="0" fillId="0" borderId="0" xfId="2915" applyNumberFormat="1" applyFont="1" applyAlignment="1">
      <alignment horizontal="center"/>
    </xf>
    <xf numFmtId="0" fontId="2" fillId="0" borderId="0" xfId="0" quotePrefix="1" applyFont="1" applyFill="1" applyBorder="1" applyAlignment="1">
      <alignment horizontal="right"/>
    </xf>
    <xf numFmtId="0" fontId="0" fillId="0" borderId="0" xfId="0" applyFont="1" applyAlignment="1">
      <alignment horizontal="center" vertical="top"/>
    </xf>
    <xf numFmtId="0" fontId="18" fillId="0" borderId="0" xfId="0" applyFont="1" applyAlignment="1">
      <alignment horizontal="center"/>
    </xf>
    <xf numFmtId="0" fontId="19" fillId="0" borderId="0" xfId="0" applyFont="1" applyAlignment="1">
      <alignment horizontal="center" vertical="center" wrapText="1"/>
    </xf>
    <xf numFmtId="164" fontId="0" fillId="0" borderId="0" xfId="0" applyNumberFormat="1" applyAlignment="1">
      <alignment horizontal="center" vertical="top"/>
    </xf>
    <xf numFmtId="0" fontId="0" fillId="0" borderId="0" xfId="0" applyFill="1" applyAlignment="1">
      <alignment horizontal="center" vertical="top"/>
    </xf>
    <xf numFmtId="0" fontId="0" fillId="3" borderId="13" xfId="0" applyFill="1" applyBorder="1"/>
    <xf numFmtId="0" fontId="0" fillId="3" borderId="8" xfId="0" applyFill="1" applyBorder="1"/>
    <xf numFmtId="0" fontId="11" fillId="0" borderId="0" xfId="0" applyFont="1" applyBorder="1" applyAlignment="1">
      <alignment horizontal="center" vertical="center"/>
    </xf>
    <xf numFmtId="0" fontId="2" fillId="0" borderId="0" xfId="0" applyFont="1" applyBorder="1" applyAlignment="1">
      <alignment horizontal="center" vertical="center"/>
    </xf>
    <xf numFmtId="0" fontId="2" fillId="2" borderId="10" xfId="0" applyFont="1" applyFill="1" applyBorder="1" applyAlignment="1">
      <alignment horizontal="center"/>
    </xf>
    <xf numFmtId="0" fontId="2" fillId="2" borderId="11" xfId="0" applyFont="1" applyFill="1" applyBorder="1" applyAlignment="1">
      <alignment horizontal="center"/>
    </xf>
    <xf numFmtId="0" fontId="2" fillId="4" borderId="10" xfId="0" applyFont="1" applyFill="1" applyBorder="1" applyAlignment="1">
      <alignment horizontal="center"/>
    </xf>
    <xf numFmtId="0" fontId="2" fillId="4" borderId="11" xfId="0" applyFont="1" applyFill="1" applyBorder="1" applyAlignment="1">
      <alignment horizontal="center"/>
    </xf>
  </cellXfs>
  <cellStyles count="2916">
    <cellStyle name="Comma" xfId="1" builtinId="3"/>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2" builtinId="9" hidden="1"/>
    <cellStyle name="Followed Hyperlink" xfId="623"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669" builtinId="9" hidden="1"/>
    <cellStyle name="Followed Hyperlink" xfId="670" builtinId="9" hidden="1"/>
    <cellStyle name="Followed Hyperlink" xfId="671" builtinId="9" hidden="1"/>
    <cellStyle name="Followed Hyperlink" xfId="672" builtinId="9" hidden="1"/>
    <cellStyle name="Followed Hyperlink" xfId="673" builtinId="9" hidden="1"/>
    <cellStyle name="Followed Hyperlink" xfId="674" builtinId="9" hidden="1"/>
    <cellStyle name="Followed Hyperlink" xfId="675" builtinId="9" hidden="1"/>
    <cellStyle name="Followed Hyperlink" xfId="676" builtinId="9" hidden="1"/>
    <cellStyle name="Followed Hyperlink" xfId="677" builtinId="9" hidden="1"/>
    <cellStyle name="Followed Hyperlink" xfId="678" builtinId="9" hidden="1"/>
    <cellStyle name="Followed Hyperlink" xfId="679" builtinId="9" hidden="1"/>
    <cellStyle name="Followed Hyperlink" xfId="680" builtinId="9" hidden="1"/>
    <cellStyle name="Followed Hyperlink" xfId="681" builtinId="9" hidden="1"/>
    <cellStyle name="Followed Hyperlink" xfId="682" builtinId="9" hidden="1"/>
    <cellStyle name="Followed Hyperlink" xfId="683" builtinId="9" hidden="1"/>
    <cellStyle name="Followed Hyperlink" xfId="684" builtinId="9" hidden="1"/>
    <cellStyle name="Followed Hyperlink" xfId="685" builtinId="9" hidden="1"/>
    <cellStyle name="Followed Hyperlink" xfId="686" builtinId="9" hidden="1"/>
    <cellStyle name="Followed Hyperlink" xfId="687" builtinId="9" hidden="1"/>
    <cellStyle name="Followed Hyperlink" xfId="688" builtinId="9" hidden="1"/>
    <cellStyle name="Followed Hyperlink" xfId="689" builtinId="9" hidden="1"/>
    <cellStyle name="Followed Hyperlink" xfId="690" builtinId="9" hidden="1"/>
    <cellStyle name="Followed Hyperlink" xfId="691" builtinId="9" hidden="1"/>
    <cellStyle name="Followed Hyperlink" xfId="692" builtinId="9" hidden="1"/>
    <cellStyle name="Followed Hyperlink" xfId="693" builtinId="9" hidden="1"/>
    <cellStyle name="Followed Hyperlink" xfId="694" builtinId="9" hidden="1"/>
    <cellStyle name="Followed Hyperlink" xfId="695" builtinId="9" hidden="1"/>
    <cellStyle name="Followed Hyperlink" xfId="696" builtinId="9" hidden="1"/>
    <cellStyle name="Followed Hyperlink" xfId="697" builtinId="9" hidden="1"/>
    <cellStyle name="Followed Hyperlink" xfId="698" builtinId="9" hidden="1"/>
    <cellStyle name="Followed Hyperlink" xfId="699" builtinId="9" hidden="1"/>
    <cellStyle name="Followed Hyperlink" xfId="700" builtinId="9" hidden="1"/>
    <cellStyle name="Followed Hyperlink" xfId="701" builtinId="9" hidden="1"/>
    <cellStyle name="Followed Hyperlink" xfId="702" builtinId="9" hidden="1"/>
    <cellStyle name="Followed Hyperlink" xfId="703" builtinId="9" hidden="1"/>
    <cellStyle name="Followed Hyperlink" xfId="704" builtinId="9" hidden="1"/>
    <cellStyle name="Followed Hyperlink" xfId="705" builtinId="9" hidden="1"/>
    <cellStyle name="Followed Hyperlink" xfId="706" builtinId="9" hidden="1"/>
    <cellStyle name="Followed Hyperlink" xfId="707" builtinId="9" hidden="1"/>
    <cellStyle name="Followed Hyperlink" xfId="708" builtinId="9" hidden="1"/>
    <cellStyle name="Followed Hyperlink" xfId="709" builtinId="9" hidden="1"/>
    <cellStyle name="Followed Hyperlink" xfId="710" builtinId="9" hidden="1"/>
    <cellStyle name="Followed Hyperlink" xfId="711" builtinId="9" hidden="1"/>
    <cellStyle name="Followed Hyperlink" xfId="712" builtinId="9" hidden="1"/>
    <cellStyle name="Followed Hyperlink" xfId="713" builtinId="9" hidden="1"/>
    <cellStyle name="Followed Hyperlink" xfId="714" builtinId="9" hidden="1"/>
    <cellStyle name="Followed Hyperlink" xfId="715" builtinId="9" hidden="1"/>
    <cellStyle name="Followed Hyperlink" xfId="716" builtinId="9" hidden="1"/>
    <cellStyle name="Followed Hyperlink" xfId="717" builtinId="9" hidden="1"/>
    <cellStyle name="Followed Hyperlink" xfId="718" builtinId="9" hidden="1"/>
    <cellStyle name="Followed Hyperlink" xfId="719" builtinId="9" hidden="1"/>
    <cellStyle name="Followed Hyperlink" xfId="720" builtinId="9" hidden="1"/>
    <cellStyle name="Followed Hyperlink" xfId="721" builtinId="9" hidden="1"/>
    <cellStyle name="Followed Hyperlink" xfId="722" builtinId="9" hidden="1"/>
    <cellStyle name="Followed Hyperlink" xfId="723" builtinId="9" hidden="1"/>
    <cellStyle name="Followed Hyperlink" xfId="724" builtinId="9" hidden="1"/>
    <cellStyle name="Followed Hyperlink" xfId="725" builtinId="9" hidden="1"/>
    <cellStyle name="Followed Hyperlink" xfId="726" builtinId="9" hidden="1"/>
    <cellStyle name="Followed Hyperlink" xfId="727" builtinId="9" hidden="1"/>
    <cellStyle name="Followed Hyperlink" xfId="728" builtinId="9" hidden="1"/>
    <cellStyle name="Followed Hyperlink" xfId="729" builtinId="9" hidden="1"/>
    <cellStyle name="Followed Hyperlink" xfId="730" builtinId="9" hidden="1"/>
    <cellStyle name="Followed Hyperlink" xfId="731" builtinId="9" hidden="1"/>
    <cellStyle name="Followed Hyperlink" xfId="732" builtinId="9" hidden="1"/>
    <cellStyle name="Followed Hyperlink" xfId="733" builtinId="9" hidden="1"/>
    <cellStyle name="Followed Hyperlink" xfId="734" builtinId="9" hidden="1"/>
    <cellStyle name="Followed Hyperlink" xfId="735" builtinId="9" hidden="1"/>
    <cellStyle name="Followed Hyperlink" xfId="736" builtinId="9" hidden="1"/>
    <cellStyle name="Followed Hyperlink" xfId="737" builtinId="9" hidden="1"/>
    <cellStyle name="Followed Hyperlink" xfId="738" builtinId="9" hidden="1"/>
    <cellStyle name="Followed Hyperlink" xfId="739" builtinId="9" hidden="1"/>
    <cellStyle name="Followed Hyperlink" xfId="740" builtinId="9" hidden="1"/>
    <cellStyle name="Followed Hyperlink" xfId="741" builtinId="9" hidden="1"/>
    <cellStyle name="Followed Hyperlink" xfId="742" builtinId="9" hidden="1"/>
    <cellStyle name="Followed Hyperlink" xfId="743" builtinId="9" hidden="1"/>
    <cellStyle name="Followed Hyperlink" xfId="744" builtinId="9" hidden="1"/>
    <cellStyle name="Followed Hyperlink" xfId="745" builtinId="9" hidden="1"/>
    <cellStyle name="Followed Hyperlink" xfId="746" builtinId="9" hidden="1"/>
    <cellStyle name="Followed Hyperlink" xfId="747" builtinId="9" hidden="1"/>
    <cellStyle name="Followed Hyperlink" xfId="748" builtinId="9" hidden="1"/>
    <cellStyle name="Followed Hyperlink" xfId="749" builtinId="9" hidden="1"/>
    <cellStyle name="Followed Hyperlink" xfId="750" builtinId="9" hidden="1"/>
    <cellStyle name="Followed Hyperlink" xfId="751" builtinId="9" hidden="1"/>
    <cellStyle name="Followed Hyperlink" xfId="752" builtinId="9" hidden="1"/>
    <cellStyle name="Followed Hyperlink" xfId="753" builtinId="9" hidden="1"/>
    <cellStyle name="Followed Hyperlink" xfId="754" builtinId="9" hidden="1"/>
    <cellStyle name="Followed Hyperlink" xfId="755" builtinId="9" hidden="1"/>
    <cellStyle name="Followed Hyperlink" xfId="756" builtinId="9" hidden="1"/>
    <cellStyle name="Followed Hyperlink" xfId="757" builtinId="9" hidden="1"/>
    <cellStyle name="Followed Hyperlink" xfId="758" builtinId="9" hidden="1"/>
    <cellStyle name="Followed Hyperlink" xfId="759" builtinId="9" hidden="1"/>
    <cellStyle name="Followed Hyperlink" xfId="760" builtinId="9" hidden="1"/>
    <cellStyle name="Followed Hyperlink" xfId="761" builtinId="9" hidden="1"/>
    <cellStyle name="Followed Hyperlink" xfId="762" builtinId="9" hidden="1"/>
    <cellStyle name="Followed Hyperlink" xfId="763" builtinId="9" hidden="1"/>
    <cellStyle name="Followed Hyperlink" xfId="764" builtinId="9" hidden="1"/>
    <cellStyle name="Followed Hyperlink" xfId="765" builtinId="9" hidden="1"/>
    <cellStyle name="Followed Hyperlink" xfId="766" builtinId="9" hidden="1"/>
    <cellStyle name="Followed Hyperlink" xfId="767" builtinId="9" hidden="1"/>
    <cellStyle name="Followed Hyperlink" xfId="768" builtinId="9" hidden="1"/>
    <cellStyle name="Followed Hyperlink" xfId="769" builtinId="9" hidden="1"/>
    <cellStyle name="Followed Hyperlink" xfId="770" builtinId="9" hidden="1"/>
    <cellStyle name="Followed Hyperlink" xfId="771" builtinId="9" hidden="1"/>
    <cellStyle name="Followed Hyperlink" xfId="772" builtinId="9" hidden="1"/>
    <cellStyle name="Followed Hyperlink" xfId="773" builtinId="9" hidden="1"/>
    <cellStyle name="Followed Hyperlink" xfId="774" builtinId="9" hidden="1"/>
    <cellStyle name="Followed Hyperlink" xfId="775" builtinId="9" hidden="1"/>
    <cellStyle name="Followed Hyperlink" xfId="776" builtinId="9" hidden="1"/>
    <cellStyle name="Followed Hyperlink" xfId="777" builtinId="9" hidden="1"/>
    <cellStyle name="Followed Hyperlink" xfId="778" builtinId="9" hidden="1"/>
    <cellStyle name="Followed Hyperlink" xfId="779" builtinId="9" hidden="1"/>
    <cellStyle name="Followed Hyperlink" xfId="780" builtinId="9" hidden="1"/>
    <cellStyle name="Followed Hyperlink" xfId="781" builtinId="9" hidden="1"/>
    <cellStyle name="Followed Hyperlink" xfId="782" builtinId="9" hidden="1"/>
    <cellStyle name="Followed Hyperlink" xfId="783" builtinId="9" hidden="1"/>
    <cellStyle name="Followed Hyperlink" xfId="784" builtinId="9" hidden="1"/>
    <cellStyle name="Followed Hyperlink" xfId="785" builtinId="9" hidden="1"/>
    <cellStyle name="Followed Hyperlink" xfId="786" builtinId="9" hidden="1"/>
    <cellStyle name="Followed Hyperlink" xfId="787" builtinId="9" hidden="1"/>
    <cellStyle name="Followed Hyperlink" xfId="788" builtinId="9" hidden="1"/>
    <cellStyle name="Followed Hyperlink" xfId="789" builtinId="9" hidden="1"/>
    <cellStyle name="Followed Hyperlink" xfId="790" builtinId="9" hidden="1"/>
    <cellStyle name="Followed Hyperlink" xfId="791" builtinId="9" hidden="1"/>
    <cellStyle name="Followed Hyperlink" xfId="792" builtinId="9" hidden="1"/>
    <cellStyle name="Followed Hyperlink" xfId="793" builtinId="9" hidden="1"/>
    <cellStyle name="Followed Hyperlink" xfId="794" builtinId="9" hidden="1"/>
    <cellStyle name="Followed Hyperlink" xfId="795" builtinId="9" hidden="1"/>
    <cellStyle name="Followed Hyperlink" xfId="796" builtinId="9" hidden="1"/>
    <cellStyle name="Followed Hyperlink" xfId="797" builtinId="9" hidden="1"/>
    <cellStyle name="Followed Hyperlink" xfId="798" builtinId="9" hidden="1"/>
    <cellStyle name="Followed Hyperlink" xfId="799" builtinId="9" hidden="1"/>
    <cellStyle name="Followed Hyperlink" xfId="800" builtinId="9" hidden="1"/>
    <cellStyle name="Followed Hyperlink" xfId="801" builtinId="9" hidden="1"/>
    <cellStyle name="Followed Hyperlink" xfId="802" builtinId="9" hidden="1"/>
    <cellStyle name="Followed Hyperlink" xfId="803" builtinId="9" hidden="1"/>
    <cellStyle name="Followed Hyperlink" xfId="804" builtinId="9" hidden="1"/>
    <cellStyle name="Followed Hyperlink" xfId="805" builtinId="9" hidden="1"/>
    <cellStyle name="Followed Hyperlink" xfId="806" builtinId="9" hidden="1"/>
    <cellStyle name="Followed Hyperlink" xfId="807" builtinId="9" hidden="1"/>
    <cellStyle name="Followed Hyperlink" xfId="808" builtinId="9" hidden="1"/>
    <cellStyle name="Followed Hyperlink" xfId="809" builtinId="9" hidden="1"/>
    <cellStyle name="Followed Hyperlink" xfId="810" builtinId="9" hidden="1"/>
    <cellStyle name="Followed Hyperlink" xfId="811" builtinId="9" hidden="1"/>
    <cellStyle name="Followed Hyperlink" xfId="812" builtinId="9" hidden="1"/>
    <cellStyle name="Followed Hyperlink" xfId="813" builtinId="9" hidden="1"/>
    <cellStyle name="Followed Hyperlink" xfId="814" builtinId="9" hidden="1"/>
    <cellStyle name="Followed Hyperlink" xfId="815" builtinId="9" hidden="1"/>
    <cellStyle name="Followed Hyperlink" xfId="816" builtinId="9" hidden="1"/>
    <cellStyle name="Followed Hyperlink" xfId="817" builtinId="9" hidden="1"/>
    <cellStyle name="Followed Hyperlink" xfId="818" builtinId="9" hidden="1"/>
    <cellStyle name="Followed Hyperlink" xfId="819" builtinId="9" hidden="1"/>
    <cellStyle name="Followed Hyperlink" xfId="820" builtinId="9" hidden="1"/>
    <cellStyle name="Followed Hyperlink" xfId="821" builtinId="9" hidden="1"/>
    <cellStyle name="Followed Hyperlink" xfId="822" builtinId="9" hidden="1"/>
    <cellStyle name="Followed Hyperlink" xfId="823" builtinId="9" hidden="1"/>
    <cellStyle name="Followed Hyperlink" xfId="824" builtinId="9" hidden="1"/>
    <cellStyle name="Followed Hyperlink" xfId="825" builtinId="9" hidden="1"/>
    <cellStyle name="Followed Hyperlink" xfId="826" builtinId="9" hidden="1"/>
    <cellStyle name="Followed Hyperlink" xfId="827" builtinId="9" hidden="1"/>
    <cellStyle name="Followed Hyperlink" xfId="828" builtinId="9" hidden="1"/>
    <cellStyle name="Followed Hyperlink" xfId="829" builtinId="9" hidden="1"/>
    <cellStyle name="Followed Hyperlink" xfId="830" builtinId="9" hidden="1"/>
    <cellStyle name="Followed Hyperlink" xfId="831" builtinId="9" hidden="1"/>
    <cellStyle name="Followed Hyperlink" xfId="832" builtinId="9" hidden="1"/>
    <cellStyle name="Followed Hyperlink" xfId="833" builtinId="9" hidden="1"/>
    <cellStyle name="Followed Hyperlink" xfId="834" builtinId="9" hidden="1"/>
    <cellStyle name="Followed Hyperlink" xfId="835" builtinId="9" hidden="1"/>
    <cellStyle name="Followed Hyperlink" xfId="836" builtinId="9" hidden="1"/>
    <cellStyle name="Followed Hyperlink" xfId="837" builtinId="9" hidden="1"/>
    <cellStyle name="Followed Hyperlink" xfId="838" builtinId="9" hidden="1"/>
    <cellStyle name="Followed Hyperlink" xfId="839" builtinId="9" hidden="1"/>
    <cellStyle name="Followed Hyperlink" xfId="840" builtinId="9" hidden="1"/>
    <cellStyle name="Followed Hyperlink" xfId="841" builtinId="9" hidden="1"/>
    <cellStyle name="Followed Hyperlink" xfId="842" builtinId="9" hidden="1"/>
    <cellStyle name="Followed Hyperlink" xfId="843" builtinId="9" hidden="1"/>
    <cellStyle name="Followed Hyperlink" xfId="844" builtinId="9" hidden="1"/>
    <cellStyle name="Followed Hyperlink" xfId="845" builtinId="9" hidden="1"/>
    <cellStyle name="Followed Hyperlink" xfId="846" builtinId="9" hidden="1"/>
    <cellStyle name="Followed Hyperlink" xfId="847" builtinId="9" hidden="1"/>
    <cellStyle name="Followed Hyperlink" xfId="848" builtinId="9" hidden="1"/>
    <cellStyle name="Followed Hyperlink" xfId="849" builtinId="9" hidden="1"/>
    <cellStyle name="Followed Hyperlink" xfId="850" builtinId="9" hidden="1"/>
    <cellStyle name="Followed Hyperlink" xfId="851" builtinId="9" hidden="1"/>
    <cellStyle name="Followed Hyperlink" xfId="852" builtinId="9" hidden="1"/>
    <cellStyle name="Followed Hyperlink" xfId="853" builtinId="9" hidden="1"/>
    <cellStyle name="Followed Hyperlink" xfId="854" builtinId="9" hidden="1"/>
    <cellStyle name="Followed Hyperlink" xfId="855" builtinId="9" hidden="1"/>
    <cellStyle name="Followed Hyperlink" xfId="856" builtinId="9" hidden="1"/>
    <cellStyle name="Followed Hyperlink" xfId="857" builtinId="9" hidden="1"/>
    <cellStyle name="Followed Hyperlink" xfId="858" builtinId="9" hidden="1"/>
    <cellStyle name="Followed Hyperlink" xfId="859" builtinId="9" hidden="1"/>
    <cellStyle name="Followed Hyperlink" xfId="860" builtinId="9" hidden="1"/>
    <cellStyle name="Followed Hyperlink" xfId="861" builtinId="9" hidden="1"/>
    <cellStyle name="Followed Hyperlink" xfId="862" builtinId="9" hidden="1"/>
    <cellStyle name="Followed Hyperlink" xfId="863" builtinId="9" hidden="1"/>
    <cellStyle name="Followed Hyperlink" xfId="864" builtinId="9" hidden="1"/>
    <cellStyle name="Followed Hyperlink" xfId="865" builtinId="9" hidden="1"/>
    <cellStyle name="Followed Hyperlink" xfId="866" builtinId="9" hidden="1"/>
    <cellStyle name="Followed Hyperlink" xfId="867" builtinId="9" hidden="1"/>
    <cellStyle name="Followed Hyperlink" xfId="868" builtinId="9" hidden="1"/>
    <cellStyle name="Followed Hyperlink" xfId="869" builtinId="9" hidden="1"/>
    <cellStyle name="Followed Hyperlink" xfId="870" builtinId="9" hidden="1"/>
    <cellStyle name="Followed Hyperlink" xfId="871" builtinId="9" hidden="1"/>
    <cellStyle name="Followed Hyperlink" xfId="872" builtinId="9" hidden="1"/>
    <cellStyle name="Followed Hyperlink" xfId="873" builtinId="9" hidden="1"/>
    <cellStyle name="Followed Hyperlink" xfId="874" builtinId="9" hidden="1"/>
    <cellStyle name="Followed Hyperlink" xfId="875" builtinId="9" hidden="1"/>
    <cellStyle name="Followed Hyperlink" xfId="876" builtinId="9" hidden="1"/>
    <cellStyle name="Followed Hyperlink" xfId="877" builtinId="9" hidden="1"/>
    <cellStyle name="Followed Hyperlink" xfId="878" builtinId="9" hidden="1"/>
    <cellStyle name="Followed Hyperlink" xfId="879" builtinId="9" hidden="1"/>
    <cellStyle name="Followed Hyperlink" xfId="880" builtinId="9" hidden="1"/>
    <cellStyle name="Followed Hyperlink" xfId="881" builtinId="9" hidden="1"/>
    <cellStyle name="Followed Hyperlink" xfId="882" builtinId="9" hidden="1"/>
    <cellStyle name="Followed Hyperlink" xfId="883" builtinId="9" hidden="1"/>
    <cellStyle name="Followed Hyperlink" xfId="884" builtinId="9" hidden="1"/>
    <cellStyle name="Followed Hyperlink" xfId="885" builtinId="9" hidden="1"/>
    <cellStyle name="Followed Hyperlink" xfId="886" builtinId="9" hidden="1"/>
    <cellStyle name="Followed Hyperlink" xfId="887" builtinId="9" hidden="1"/>
    <cellStyle name="Followed Hyperlink" xfId="888" builtinId="9" hidden="1"/>
    <cellStyle name="Followed Hyperlink" xfId="889" builtinId="9" hidden="1"/>
    <cellStyle name="Followed Hyperlink" xfId="890" builtinId="9" hidden="1"/>
    <cellStyle name="Followed Hyperlink" xfId="891" builtinId="9" hidden="1"/>
    <cellStyle name="Followed Hyperlink" xfId="892" builtinId="9" hidden="1"/>
    <cellStyle name="Followed Hyperlink" xfId="893" builtinId="9" hidden="1"/>
    <cellStyle name="Followed Hyperlink" xfId="894" builtinId="9" hidden="1"/>
    <cellStyle name="Followed Hyperlink" xfId="895" builtinId="9" hidden="1"/>
    <cellStyle name="Followed Hyperlink" xfId="896" builtinId="9" hidden="1"/>
    <cellStyle name="Followed Hyperlink" xfId="897" builtinId="9" hidden="1"/>
    <cellStyle name="Followed Hyperlink" xfId="898" builtinId="9" hidden="1"/>
    <cellStyle name="Followed Hyperlink" xfId="899" builtinId="9" hidden="1"/>
    <cellStyle name="Followed Hyperlink" xfId="900" builtinId="9" hidden="1"/>
    <cellStyle name="Followed Hyperlink" xfId="901" builtinId="9" hidden="1"/>
    <cellStyle name="Followed Hyperlink" xfId="902" builtinId="9" hidden="1"/>
    <cellStyle name="Followed Hyperlink" xfId="903" builtinId="9" hidden="1"/>
    <cellStyle name="Followed Hyperlink" xfId="904" builtinId="9" hidden="1"/>
    <cellStyle name="Followed Hyperlink" xfId="905" builtinId="9" hidden="1"/>
    <cellStyle name="Followed Hyperlink" xfId="906" builtinId="9" hidden="1"/>
    <cellStyle name="Followed Hyperlink" xfId="907" builtinId="9" hidden="1"/>
    <cellStyle name="Followed Hyperlink" xfId="908" builtinId="9" hidden="1"/>
    <cellStyle name="Followed Hyperlink" xfId="909" builtinId="9" hidden="1"/>
    <cellStyle name="Followed Hyperlink" xfId="910" builtinId="9" hidden="1"/>
    <cellStyle name="Followed Hyperlink" xfId="911" builtinId="9" hidden="1"/>
    <cellStyle name="Followed Hyperlink" xfId="912" builtinId="9" hidden="1"/>
    <cellStyle name="Followed Hyperlink" xfId="913" builtinId="9" hidden="1"/>
    <cellStyle name="Followed Hyperlink" xfId="914" builtinId="9" hidden="1"/>
    <cellStyle name="Followed Hyperlink" xfId="915" builtinId="9" hidden="1"/>
    <cellStyle name="Followed Hyperlink" xfId="916" builtinId="9" hidden="1"/>
    <cellStyle name="Followed Hyperlink" xfId="917" builtinId="9" hidden="1"/>
    <cellStyle name="Followed Hyperlink" xfId="918" builtinId="9" hidden="1"/>
    <cellStyle name="Followed Hyperlink" xfId="919" builtinId="9" hidden="1"/>
    <cellStyle name="Followed Hyperlink" xfId="920" builtinId="9" hidden="1"/>
    <cellStyle name="Followed Hyperlink" xfId="921" builtinId="9" hidden="1"/>
    <cellStyle name="Followed Hyperlink" xfId="922" builtinId="9" hidden="1"/>
    <cellStyle name="Followed Hyperlink" xfId="923" builtinId="9" hidden="1"/>
    <cellStyle name="Followed Hyperlink" xfId="924" builtinId="9" hidden="1"/>
    <cellStyle name="Followed Hyperlink" xfId="925" builtinId="9" hidden="1"/>
    <cellStyle name="Followed Hyperlink" xfId="926" builtinId="9" hidden="1"/>
    <cellStyle name="Followed Hyperlink" xfId="927" builtinId="9" hidden="1"/>
    <cellStyle name="Followed Hyperlink" xfId="928" builtinId="9" hidden="1"/>
    <cellStyle name="Followed Hyperlink" xfId="929" builtinId="9" hidden="1"/>
    <cellStyle name="Followed Hyperlink" xfId="930" builtinId="9" hidden="1"/>
    <cellStyle name="Followed Hyperlink" xfId="931" builtinId="9" hidden="1"/>
    <cellStyle name="Followed Hyperlink" xfId="932" builtinId="9" hidden="1"/>
    <cellStyle name="Followed Hyperlink" xfId="933" builtinId="9" hidden="1"/>
    <cellStyle name="Followed Hyperlink" xfId="934" builtinId="9" hidden="1"/>
    <cellStyle name="Followed Hyperlink" xfId="935" builtinId="9" hidden="1"/>
    <cellStyle name="Followed Hyperlink" xfId="936" builtinId="9" hidden="1"/>
    <cellStyle name="Followed Hyperlink" xfId="937" builtinId="9" hidden="1"/>
    <cellStyle name="Followed Hyperlink" xfId="938" builtinId="9" hidden="1"/>
    <cellStyle name="Followed Hyperlink" xfId="939" builtinId="9" hidden="1"/>
    <cellStyle name="Followed Hyperlink" xfId="940" builtinId="9" hidden="1"/>
    <cellStyle name="Followed Hyperlink" xfId="941" builtinId="9" hidden="1"/>
    <cellStyle name="Followed Hyperlink" xfId="942" builtinId="9" hidden="1"/>
    <cellStyle name="Followed Hyperlink" xfId="943" builtinId="9" hidden="1"/>
    <cellStyle name="Followed Hyperlink" xfId="944" builtinId="9" hidden="1"/>
    <cellStyle name="Followed Hyperlink" xfId="945" builtinId="9" hidden="1"/>
    <cellStyle name="Followed Hyperlink" xfId="946" builtinId="9" hidden="1"/>
    <cellStyle name="Followed Hyperlink" xfId="947" builtinId="9" hidden="1"/>
    <cellStyle name="Followed Hyperlink" xfId="948" builtinId="9" hidden="1"/>
    <cellStyle name="Followed Hyperlink" xfId="949" builtinId="9" hidden="1"/>
    <cellStyle name="Followed Hyperlink" xfId="950" builtinId="9" hidden="1"/>
    <cellStyle name="Followed Hyperlink" xfId="951" builtinId="9" hidden="1"/>
    <cellStyle name="Followed Hyperlink" xfId="952" builtinId="9" hidden="1"/>
    <cellStyle name="Followed Hyperlink" xfId="953" builtinId="9" hidden="1"/>
    <cellStyle name="Followed Hyperlink" xfId="954" builtinId="9" hidden="1"/>
    <cellStyle name="Followed Hyperlink" xfId="955" builtinId="9" hidden="1"/>
    <cellStyle name="Followed Hyperlink" xfId="956" builtinId="9" hidden="1"/>
    <cellStyle name="Followed Hyperlink" xfId="957" builtinId="9" hidden="1"/>
    <cellStyle name="Followed Hyperlink" xfId="958" builtinId="9" hidden="1"/>
    <cellStyle name="Followed Hyperlink" xfId="959" builtinId="9" hidden="1"/>
    <cellStyle name="Followed Hyperlink" xfId="960" builtinId="9" hidden="1"/>
    <cellStyle name="Followed Hyperlink" xfId="961" builtinId="9" hidden="1"/>
    <cellStyle name="Followed Hyperlink" xfId="962" builtinId="9" hidden="1"/>
    <cellStyle name="Followed Hyperlink" xfId="963" builtinId="9" hidden="1"/>
    <cellStyle name="Followed Hyperlink" xfId="964" builtinId="9" hidden="1"/>
    <cellStyle name="Followed Hyperlink" xfId="965" builtinId="9" hidden="1"/>
    <cellStyle name="Followed Hyperlink" xfId="966" builtinId="9" hidden="1"/>
    <cellStyle name="Followed Hyperlink" xfId="967" builtinId="9" hidden="1"/>
    <cellStyle name="Followed Hyperlink" xfId="968" builtinId="9" hidden="1"/>
    <cellStyle name="Followed Hyperlink" xfId="969" builtinId="9" hidden="1"/>
    <cellStyle name="Followed Hyperlink" xfId="970" builtinId="9" hidden="1"/>
    <cellStyle name="Followed Hyperlink" xfId="971" builtinId="9" hidden="1"/>
    <cellStyle name="Followed Hyperlink" xfId="972" builtinId="9" hidden="1"/>
    <cellStyle name="Followed Hyperlink" xfId="973" builtinId="9" hidden="1"/>
    <cellStyle name="Followed Hyperlink" xfId="974" builtinId="9" hidden="1"/>
    <cellStyle name="Followed Hyperlink" xfId="975" builtinId="9" hidden="1"/>
    <cellStyle name="Followed Hyperlink" xfId="976" builtinId="9" hidden="1"/>
    <cellStyle name="Followed Hyperlink" xfId="977" builtinId="9" hidden="1"/>
    <cellStyle name="Followed Hyperlink" xfId="978" builtinId="9" hidden="1"/>
    <cellStyle name="Followed Hyperlink" xfId="979" builtinId="9" hidden="1"/>
    <cellStyle name="Followed Hyperlink" xfId="980" builtinId="9" hidden="1"/>
    <cellStyle name="Followed Hyperlink" xfId="981" builtinId="9" hidden="1"/>
    <cellStyle name="Followed Hyperlink" xfId="982" builtinId="9" hidden="1"/>
    <cellStyle name="Followed Hyperlink" xfId="983" builtinId="9" hidden="1"/>
    <cellStyle name="Followed Hyperlink" xfId="984" builtinId="9" hidden="1"/>
    <cellStyle name="Followed Hyperlink" xfId="985" builtinId="9" hidden="1"/>
    <cellStyle name="Followed Hyperlink" xfId="986" builtinId="9" hidden="1"/>
    <cellStyle name="Followed Hyperlink" xfId="987" builtinId="9" hidden="1"/>
    <cellStyle name="Followed Hyperlink" xfId="988" builtinId="9" hidden="1"/>
    <cellStyle name="Followed Hyperlink" xfId="989" builtinId="9" hidden="1"/>
    <cellStyle name="Followed Hyperlink" xfId="990" builtinId="9" hidden="1"/>
    <cellStyle name="Followed Hyperlink" xfId="991" builtinId="9" hidden="1"/>
    <cellStyle name="Followed Hyperlink" xfId="992" builtinId="9" hidden="1"/>
    <cellStyle name="Followed Hyperlink" xfId="993" builtinId="9" hidden="1"/>
    <cellStyle name="Followed Hyperlink" xfId="994" builtinId="9" hidden="1"/>
    <cellStyle name="Followed Hyperlink" xfId="995" builtinId="9" hidden="1"/>
    <cellStyle name="Followed Hyperlink" xfId="996" builtinId="9" hidden="1"/>
    <cellStyle name="Followed Hyperlink" xfId="997" builtinId="9" hidden="1"/>
    <cellStyle name="Followed Hyperlink" xfId="998" builtinId="9" hidden="1"/>
    <cellStyle name="Followed Hyperlink" xfId="999" builtinId="9" hidden="1"/>
    <cellStyle name="Followed Hyperlink" xfId="1000" builtinId="9" hidden="1"/>
    <cellStyle name="Followed Hyperlink" xfId="1001" builtinId="9" hidden="1"/>
    <cellStyle name="Followed Hyperlink" xfId="1002" builtinId="9" hidden="1"/>
    <cellStyle name="Followed Hyperlink" xfId="1003" builtinId="9" hidden="1"/>
    <cellStyle name="Followed Hyperlink" xfId="1004" builtinId="9" hidden="1"/>
    <cellStyle name="Followed Hyperlink" xfId="1005" builtinId="9" hidden="1"/>
    <cellStyle name="Followed Hyperlink" xfId="1006" builtinId="9" hidden="1"/>
    <cellStyle name="Followed Hyperlink" xfId="1007" builtinId="9" hidden="1"/>
    <cellStyle name="Followed Hyperlink" xfId="1008" builtinId="9" hidden="1"/>
    <cellStyle name="Followed Hyperlink" xfId="1009" builtinId="9" hidden="1"/>
    <cellStyle name="Followed Hyperlink" xfId="1010" builtinId="9" hidden="1"/>
    <cellStyle name="Followed Hyperlink" xfId="1011" builtinId="9" hidden="1"/>
    <cellStyle name="Followed Hyperlink" xfId="1012" builtinId="9" hidden="1"/>
    <cellStyle name="Followed Hyperlink" xfId="1013" builtinId="9" hidden="1"/>
    <cellStyle name="Followed Hyperlink" xfId="1014" builtinId="9" hidden="1"/>
    <cellStyle name="Followed Hyperlink" xfId="1015" builtinId="9" hidden="1"/>
    <cellStyle name="Followed Hyperlink" xfId="1016" builtinId="9" hidden="1"/>
    <cellStyle name="Followed Hyperlink" xfId="1017" builtinId="9" hidden="1"/>
    <cellStyle name="Followed Hyperlink" xfId="1018" builtinId="9" hidden="1"/>
    <cellStyle name="Followed Hyperlink" xfId="1019" builtinId="9" hidden="1"/>
    <cellStyle name="Followed Hyperlink" xfId="1020" builtinId="9" hidden="1"/>
    <cellStyle name="Followed Hyperlink" xfId="1021" builtinId="9" hidden="1"/>
    <cellStyle name="Followed Hyperlink" xfId="1022" builtinId="9" hidden="1"/>
    <cellStyle name="Followed Hyperlink" xfId="1023" builtinId="9" hidden="1"/>
    <cellStyle name="Followed Hyperlink" xfId="1024" builtinId="9" hidden="1"/>
    <cellStyle name="Followed Hyperlink" xfId="1025" builtinId="9" hidden="1"/>
    <cellStyle name="Followed Hyperlink" xfId="1026" builtinId="9" hidden="1"/>
    <cellStyle name="Followed Hyperlink" xfId="1027" builtinId="9" hidden="1"/>
    <cellStyle name="Followed Hyperlink" xfId="1028" builtinId="9" hidden="1"/>
    <cellStyle name="Followed Hyperlink" xfId="1029" builtinId="9" hidden="1"/>
    <cellStyle name="Followed Hyperlink" xfId="1030" builtinId="9" hidden="1"/>
    <cellStyle name="Followed Hyperlink" xfId="1031" builtinId="9" hidden="1"/>
    <cellStyle name="Followed Hyperlink" xfId="1032" builtinId="9" hidden="1"/>
    <cellStyle name="Followed Hyperlink" xfId="1033" builtinId="9" hidden="1"/>
    <cellStyle name="Followed Hyperlink" xfId="1034" builtinId="9" hidden="1"/>
    <cellStyle name="Followed Hyperlink" xfId="1035" builtinId="9" hidden="1"/>
    <cellStyle name="Followed Hyperlink" xfId="1036" builtinId="9" hidden="1"/>
    <cellStyle name="Followed Hyperlink" xfId="1037" builtinId="9" hidden="1"/>
    <cellStyle name="Followed Hyperlink" xfId="1038" builtinId="9" hidden="1"/>
    <cellStyle name="Followed Hyperlink" xfId="1039" builtinId="9" hidden="1"/>
    <cellStyle name="Followed Hyperlink" xfId="1040" builtinId="9" hidden="1"/>
    <cellStyle name="Followed Hyperlink" xfId="1041" builtinId="9" hidden="1"/>
    <cellStyle name="Followed Hyperlink" xfId="1042" builtinId="9" hidden="1"/>
    <cellStyle name="Followed Hyperlink" xfId="1043" builtinId="9" hidden="1"/>
    <cellStyle name="Followed Hyperlink" xfId="1044" builtinId="9" hidden="1"/>
    <cellStyle name="Followed Hyperlink" xfId="1045" builtinId="9" hidden="1"/>
    <cellStyle name="Followed Hyperlink" xfId="1046" builtinId="9" hidden="1"/>
    <cellStyle name="Followed Hyperlink" xfId="1047" builtinId="9" hidden="1"/>
    <cellStyle name="Followed Hyperlink" xfId="1048" builtinId="9" hidden="1"/>
    <cellStyle name="Followed Hyperlink" xfId="1049" builtinId="9" hidden="1"/>
    <cellStyle name="Followed Hyperlink" xfId="1050" builtinId="9" hidden="1"/>
    <cellStyle name="Followed Hyperlink" xfId="1051" builtinId="9" hidden="1"/>
    <cellStyle name="Followed Hyperlink" xfId="1052" builtinId="9" hidden="1"/>
    <cellStyle name="Followed Hyperlink" xfId="1053" builtinId="9" hidden="1"/>
    <cellStyle name="Followed Hyperlink" xfId="1054" builtinId="9" hidden="1"/>
    <cellStyle name="Followed Hyperlink" xfId="1055" builtinId="9" hidden="1"/>
    <cellStyle name="Followed Hyperlink" xfId="1056" builtinId="9" hidden="1"/>
    <cellStyle name="Followed Hyperlink" xfId="1057" builtinId="9" hidden="1"/>
    <cellStyle name="Followed Hyperlink" xfId="1058" builtinId="9" hidden="1"/>
    <cellStyle name="Followed Hyperlink" xfId="1059" builtinId="9" hidden="1"/>
    <cellStyle name="Followed Hyperlink" xfId="1060" builtinId="9" hidden="1"/>
    <cellStyle name="Followed Hyperlink" xfId="1061" builtinId="9" hidden="1"/>
    <cellStyle name="Followed Hyperlink" xfId="1062" builtinId="9" hidden="1"/>
    <cellStyle name="Followed Hyperlink" xfId="1063" builtinId="9" hidden="1"/>
    <cellStyle name="Followed Hyperlink" xfId="1064" builtinId="9" hidden="1"/>
    <cellStyle name="Followed Hyperlink" xfId="1065" builtinId="9" hidden="1"/>
    <cellStyle name="Followed Hyperlink" xfId="1066" builtinId="9" hidden="1"/>
    <cellStyle name="Followed Hyperlink" xfId="1067" builtinId="9" hidden="1"/>
    <cellStyle name="Followed Hyperlink" xfId="1068" builtinId="9" hidden="1"/>
    <cellStyle name="Followed Hyperlink" xfId="1069" builtinId="9" hidden="1"/>
    <cellStyle name="Followed Hyperlink" xfId="1070" builtinId="9" hidden="1"/>
    <cellStyle name="Followed Hyperlink" xfId="1071" builtinId="9" hidden="1"/>
    <cellStyle name="Followed Hyperlink" xfId="1072" builtinId="9" hidden="1"/>
    <cellStyle name="Followed Hyperlink" xfId="1073" builtinId="9" hidden="1"/>
    <cellStyle name="Followed Hyperlink" xfId="1074" builtinId="9" hidden="1"/>
    <cellStyle name="Followed Hyperlink" xfId="1075" builtinId="9" hidden="1"/>
    <cellStyle name="Followed Hyperlink" xfId="1076" builtinId="9" hidden="1"/>
    <cellStyle name="Followed Hyperlink" xfId="1077" builtinId="9" hidden="1"/>
    <cellStyle name="Followed Hyperlink" xfId="1078" builtinId="9" hidden="1"/>
    <cellStyle name="Followed Hyperlink" xfId="1079" builtinId="9" hidden="1"/>
    <cellStyle name="Followed Hyperlink" xfId="1080" builtinId="9" hidden="1"/>
    <cellStyle name="Followed Hyperlink" xfId="1081" builtinId="9" hidden="1"/>
    <cellStyle name="Followed Hyperlink" xfId="1082" builtinId="9" hidden="1"/>
    <cellStyle name="Followed Hyperlink" xfId="1083" builtinId="9" hidden="1"/>
    <cellStyle name="Followed Hyperlink" xfId="1084" builtinId="9" hidden="1"/>
    <cellStyle name="Followed Hyperlink" xfId="1085" builtinId="9" hidden="1"/>
    <cellStyle name="Followed Hyperlink" xfId="1086" builtinId="9" hidden="1"/>
    <cellStyle name="Followed Hyperlink" xfId="1087" builtinId="9" hidden="1"/>
    <cellStyle name="Followed Hyperlink" xfId="1088" builtinId="9" hidden="1"/>
    <cellStyle name="Followed Hyperlink" xfId="1089" builtinId="9" hidden="1"/>
    <cellStyle name="Followed Hyperlink" xfId="1090" builtinId="9" hidden="1"/>
    <cellStyle name="Followed Hyperlink" xfId="1091" builtinId="9" hidden="1"/>
    <cellStyle name="Followed Hyperlink" xfId="1092" builtinId="9" hidden="1"/>
    <cellStyle name="Followed Hyperlink" xfId="1093" builtinId="9" hidden="1"/>
    <cellStyle name="Followed Hyperlink" xfId="1094" builtinId="9" hidden="1"/>
    <cellStyle name="Followed Hyperlink" xfId="1095" builtinId="9" hidden="1"/>
    <cellStyle name="Followed Hyperlink" xfId="1096" builtinId="9" hidden="1"/>
    <cellStyle name="Followed Hyperlink" xfId="1097" builtinId="9" hidden="1"/>
    <cellStyle name="Followed Hyperlink" xfId="1098" builtinId="9" hidden="1"/>
    <cellStyle name="Followed Hyperlink" xfId="1099" builtinId="9" hidden="1"/>
    <cellStyle name="Followed Hyperlink" xfId="1100" builtinId="9" hidden="1"/>
    <cellStyle name="Followed Hyperlink" xfId="1101" builtinId="9" hidden="1"/>
    <cellStyle name="Followed Hyperlink" xfId="1102" builtinId="9" hidden="1"/>
    <cellStyle name="Followed Hyperlink" xfId="1103" builtinId="9" hidden="1"/>
    <cellStyle name="Followed Hyperlink" xfId="1104" builtinId="9" hidden="1"/>
    <cellStyle name="Followed Hyperlink" xfId="1105" builtinId="9" hidden="1"/>
    <cellStyle name="Followed Hyperlink" xfId="1106" builtinId="9" hidden="1"/>
    <cellStyle name="Followed Hyperlink" xfId="1107" builtinId="9" hidden="1"/>
    <cellStyle name="Followed Hyperlink" xfId="1108" builtinId="9" hidden="1"/>
    <cellStyle name="Followed Hyperlink" xfId="1109" builtinId="9" hidden="1"/>
    <cellStyle name="Followed Hyperlink" xfId="1110" builtinId="9" hidden="1"/>
    <cellStyle name="Followed Hyperlink" xfId="1111" builtinId="9" hidden="1"/>
    <cellStyle name="Followed Hyperlink" xfId="1112" builtinId="9" hidden="1"/>
    <cellStyle name="Followed Hyperlink" xfId="1113" builtinId="9" hidden="1"/>
    <cellStyle name="Followed Hyperlink" xfId="1114" builtinId="9" hidden="1"/>
    <cellStyle name="Followed Hyperlink" xfId="1115" builtinId="9" hidden="1"/>
    <cellStyle name="Followed Hyperlink" xfId="1116" builtinId="9" hidden="1"/>
    <cellStyle name="Followed Hyperlink" xfId="1117" builtinId="9" hidden="1"/>
    <cellStyle name="Followed Hyperlink" xfId="1118" builtinId="9" hidden="1"/>
    <cellStyle name="Followed Hyperlink" xfId="1119" builtinId="9" hidden="1"/>
    <cellStyle name="Followed Hyperlink" xfId="1120" builtinId="9" hidden="1"/>
    <cellStyle name="Followed Hyperlink" xfId="1121" builtinId="9" hidden="1"/>
    <cellStyle name="Followed Hyperlink" xfId="1122" builtinId="9" hidden="1"/>
    <cellStyle name="Followed Hyperlink" xfId="1123" builtinId="9" hidden="1"/>
    <cellStyle name="Followed Hyperlink" xfId="1124" builtinId="9" hidden="1"/>
    <cellStyle name="Followed Hyperlink" xfId="1125" builtinId="9" hidden="1"/>
    <cellStyle name="Followed Hyperlink" xfId="1126" builtinId="9" hidden="1"/>
    <cellStyle name="Followed Hyperlink" xfId="1127" builtinId="9" hidden="1"/>
    <cellStyle name="Followed Hyperlink" xfId="1128" builtinId="9" hidden="1"/>
    <cellStyle name="Followed Hyperlink" xfId="1129" builtinId="9" hidden="1"/>
    <cellStyle name="Followed Hyperlink" xfId="1130" builtinId="9" hidden="1"/>
    <cellStyle name="Followed Hyperlink" xfId="1131" builtinId="9" hidden="1"/>
    <cellStyle name="Followed Hyperlink" xfId="1132" builtinId="9" hidden="1"/>
    <cellStyle name="Followed Hyperlink" xfId="1133" builtinId="9" hidden="1"/>
    <cellStyle name="Followed Hyperlink" xfId="1134" builtinId="9" hidden="1"/>
    <cellStyle name="Followed Hyperlink" xfId="1135" builtinId="9" hidden="1"/>
    <cellStyle name="Followed Hyperlink" xfId="1136" builtinId="9" hidden="1"/>
    <cellStyle name="Followed Hyperlink" xfId="1137" builtinId="9" hidden="1"/>
    <cellStyle name="Followed Hyperlink" xfId="1138" builtinId="9" hidden="1"/>
    <cellStyle name="Followed Hyperlink" xfId="1139" builtinId="9" hidden="1"/>
    <cellStyle name="Followed Hyperlink" xfId="1140" builtinId="9" hidden="1"/>
    <cellStyle name="Followed Hyperlink" xfId="1141" builtinId="9" hidden="1"/>
    <cellStyle name="Followed Hyperlink" xfId="1142" builtinId="9" hidden="1"/>
    <cellStyle name="Followed Hyperlink" xfId="1143" builtinId="9" hidden="1"/>
    <cellStyle name="Followed Hyperlink" xfId="1144" builtinId="9" hidden="1"/>
    <cellStyle name="Followed Hyperlink" xfId="1145" builtinId="9" hidden="1"/>
    <cellStyle name="Followed Hyperlink" xfId="1146" builtinId="9" hidden="1"/>
    <cellStyle name="Followed Hyperlink" xfId="1147" builtinId="9" hidden="1"/>
    <cellStyle name="Followed Hyperlink" xfId="1148" builtinId="9" hidden="1"/>
    <cellStyle name="Followed Hyperlink" xfId="1149" builtinId="9" hidden="1"/>
    <cellStyle name="Followed Hyperlink" xfId="1150" builtinId="9" hidden="1"/>
    <cellStyle name="Followed Hyperlink" xfId="1151" builtinId="9" hidden="1"/>
    <cellStyle name="Followed Hyperlink" xfId="1152" builtinId="9" hidden="1"/>
    <cellStyle name="Followed Hyperlink" xfId="1153" builtinId="9" hidden="1"/>
    <cellStyle name="Followed Hyperlink" xfId="1154" builtinId="9" hidden="1"/>
    <cellStyle name="Followed Hyperlink" xfId="1155" builtinId="9" hidden="1"/>
    <cellStyle name="Followed Hyperlink" xfId="1156" builtinId="9" hidden="1"/>
    <cellStyle name="Followed Hyperlink" xfId="1157" builtinId="9" hidden="1"/>
    <cellStyle name="Followed Hyperlink" xfId="1158" builtinId="9" hidden="1"/>
    <cellStyle name="Followed Hyperlink" xfId="1159" builtinId="9" hidden="1"/>
    <cellStyle name="Followed Hyperlink" xfId="1160" builtinId="9" hidden="1"/>
    <cellStyle name="Followed Hyperlink" xfId="1161" builtinId="9" hidden="1"/>
    <cellStyle name="Followed Hyperlink" xfId="1162" builtinId="9" hidden="1"/>
    <cellStyle name="Followed Hyperlink" xfId="1163" builtinId="9" hidden="1"/>
    <cellStyle name="Followed Hyperlink" xfId="1164" builtinId="9" hidden="1"/>
    <cellStyle name="Followed Hyperlink" xfId="1165" builtinId="9" hidden="1"/>
    <cellStyle name="Followed Hyperlink" xfId="1166" builtinId="9" hidden="1"/>
    <cellStyle name="Followed Hyperlink" xfId="1167" builtinId="9" hidden="1"/>
    <cellStyle name="Followed Hyperlink" xfId="1168" builtinId="9" hidden="1"/>
    <cellStyle name="Followed Hyperlink" xfId="1169" builtinId="9" hidden="1"/>
    <cellStyle name="Followed Hyperlink" xfId="1170" builtinId="9" hidden="1"/>
    <cellStyle name="Followed Hyperlink" xfId="1171" builtinId="9" hidden="1"/>
    <cellStyle name="Followed Hyperlink" xfId="1172" builtinId="9" hidden="1"/>
    <cellStyle name="Followed Hyperlink" xfId="1173" builtinId="9" hidden="1"/>
    <cellStyle name="Followed Hyperlink" xfId="1174" builtinId="9" hidden="1"/>
    <cellStyle name="Followed Hyperlink" xfId="1175" builtinId="9" hidden="1"/>
    <cellStyle name="Followed Hyperlink" xfId="1176" builtinId="9" hidden="1"/>
    <cellStyle name="Followed Hyperlink" xfId="1177" builtinId="9" hidden="1"/>
    <cellStyle name="Followed Hyperlink" xfId="1178" builtinId="9" hidden="1"/>
    <cellStyle name="Followed Hyperlink" xfId="1179" builtinId="9" hidden="1"/>
    <cellStyle name="Followed Hyperlink" xfId="1180" builtinId="9" hidden="1"/>
    <cellStyle name="Followed Hyperlink" xfId="1181" builtinId="9" hidden="1"/>
    <cellStyle name="Followed Hyperlink" xfId="1182" builtinId="9" hidden="1"/>
    <cellStyle name="Followed Hyperlink" xfId="1183" builtinId="9" hidden="1"/>
    <cellStyle name="Followed Hyperlink" xfId="1184" builtinId="9" hidden="1"/>
    <cellStyle name="Followed Hyperlink" xfId="1185" builtinId="9" hidden="1"/>
    <cellStyle name="Followed Hyperlink" xfId="1186" builtinId="9" hidden="1"/>
    <cellStyle name="Followed Hyperlink" xfId="1187" builtinId="9" hidden="1"/>
    <cellStyle name="Followed Hyperlink" xfId="1188" builtinId="9" hidden="1"/>
    <cellStyle name="Followed Hyperlink" xfId="1189" builtinId="9" hidden="1"/>
    <cellStyle name="Followed Hyperlink" xfId="1190" builtinId="9" hidden="1"/>
    <cellStyle name="Followed Hyperlink" xfId="1191" builtinId="9" hidden="1"/>
    <cellStyle name="Followed Hyperlink" xfId="1192" builtinId="9" hidden="1"/>
    <cellStyle name="Followed Hyperlink" xfId="1193" builtinId="9" hidden="1"/>
    <cellStyle name="Followed Hyperlink" xfId="1194" builtinId="9" hidden="1"/>
    <cellStyle name="Followed Hyperlink" xfId="1195" builtinId="9" hidden="1"/>
    <cellStyle name="Followed Hyperlink" xfId="1196" builtinId="9" hidden="1"/>
    <cellStyle name="Followed Hyperlink" xfId="1197" builtinId="9" hidden="1"/>
    <cellStyle name="Followed Hyperlink" xfId="1198" builtinId="9" hidden="1"/>
    <cellStyle name="Followed Hyperlink" xfId="1199" builtinId="9" hidden="1"/>
    <cellStyle name="Followed Hyperlink" xfId="1200" builtinId="9" hidden="1"/>
    <cellStyle name="Followed Hyperlink" xfId="1201" builtinId="9" hidden="1"/>
    <cellStyle name="Followed Hyperlink" xfId="1202" builtinId="9" hidden="1"/>
    <cellStyle name="Followed Hyperlink" xfId="1203" builtinId="9" hidden="1"/>
    <cellStyle name="Followed Hyperlink" xfId="1204" builtinId="9" hidden="1"/>
    <cellStyle name="Followed Hyperlink" xfId="1205" builtinId="9" hidden="1"/>
    <cellStyle name="Followed Hyperlink" xfId="1206" builtinId="9" hidden="1"/>
    <cellStyle name="Followed Hyperlink" xfId="1207" builtinId="9" hidden="1"/>
    <cellStyle name="Followed Hyperlink" xfId="1208" builtinId="9" hidden="1"/>
    <cellStyle name="Followed Hyperlink" xfId="1209" builtinId="9" hidden="1"/>
    <cellStyle name="Followed Hyperlink" xfId="1210" builtinId="9" hidden="1"/>
    <cellStyle name="Followed Hyperlink" xfId="1211" builtinId="9" hidden="1"/>
    <cellStyle name="Followed Hyperlink" xfId="1212" builtinId="9" hidden="1"/>
    <cellStyle name="Followed Hyperlink" xfId="1213" builtinId="9" hidden="1"/>
    <cellStyle name="Followed Hyperlink" xfId="1214" builtinId="9" hidden="1"/>
    <cellStyle name="Followed Hyperlink" xfId="1215" builtinId="9" hidden="1"/>
    <cellStyle name="Followed Hyperlink" xfId="1216" builtinId="9" hidden="1"/>
    <cellStyle name="Followed Hyperlink" xfId="1217" builtinId="9" hidden="1"/>
    <cellStyle name="Followed Hyperlink" xfId="1218" builtinId="9" hidden="1"/>
    <cellStyle name="Followed Hyperlink" xfId="1219" builtinId="9" hidden="1"/>
    <cellStyle name="Followed Hyperlink" xfId="1220" builtinId="9" hidden="1"/>
    <cellStyle name="Followed Hyperlink" xfId="1221" builtinId="9" hidden="1"/>
    <cellStyle name="Followed Hyperlink" xfId="1222" builtinId="9" hidden="1"/>
    <cellStyle name="Followed Hyperlink" xfId="1223" builtinId="9" hidden="1"/>
    <cellStyle name="Followed Hyperlink" xfId="1224" builtinId="9" hidden="1"/>
    <cellStyle name="Followed Hyperlink" xfId="1225" builtinId="9" hidden="1"/>
    <cellStyle name="Followed Hyperlink" xfId="1226" builtinId="9" hidden="1"/>
    <cellStyle name="Followed Hyperlink" xfId="1227" builtinId="9" hidden="1"/>
    <cellStyle name="Followed Hyperlink" xfId="1228" builtinId="9" hidden="1"/>
    <cellStyle name="Followed Hyperlink" xfId="1229" builtinId="9" hidden="1"/>
    <cellStyle name="Followed Hyperlink" xfId="1230" builtinId="9" hidden="1"/>
    <cellStyle name="Followed Hyperlink" xfId="1231" builtinId="9" hidden="1"/>
    <cellStyle name="Followed Hyperlink" xfId="1232" builtinId="9" hidden="1"/>
    <cellStyle name="Followed Hyperlink" xfId="1233" builtinId="9" hidden="1"/>
    <cellStyle name="Followed Hyperlink" xfId="1234" builtinId="9" hidden="1"/>
    <cellStyle name="Followed Hyperlink" xfId="1235" builtinId="9" hidden="1"/>
    <cellStyle name="Followed Hyperlink" xfId="1236" builtinId="9" hidden="1"/>
    <cellStyle name="Followed Hyperlink" xfId="1237" builtinId="9" hidden="1"/>
    <cellStyle name="Followed Hyperlink" xfId="1238" builtinId="9" hidden="1"/>
    <cellStyle name="Followed Hyperlink" xfId="1239" builtinId="9" hidden="1"/>
    <cellStyle name="Followed Hyperlink" xfId="1240" builtinId="9" hidden="1"/>
    <cellStyle name="Followed Hyperlink" xfId="1241" builtinId="9" hidden="1"/>
    <cellStyle name="Followed Hyperlink" xfId="1242" builtinId="9" hidden="1"/>
    <cellStyle name="Followed Hyperlink" xfId="1243" builtinId="9" hidden="1"/>
    <cellStyle name="Followed Hyperlink" xfId="1244" builtinId="9" hidden="1"/>
    <cellStyle name="Followed Hyperlink" xfId="1245" builtinId="9" hidden="1"/>
    <cellStyle name="Followed Hyperlink" xfId="1246" builtinId="9" hidden="1"/>
    <cellStyle name="Followed Hyperlink" xfId="1247" builtinId="9" hidden="1"/>
    <cellStyle name="Followed Hyperlink" xfId="1248" builtinId="9" hidden="1"/>
    <cellStyle name="Followed Hyperlink" xfId="1249" builtinId="9" hidden="1"/>
    <cellStyle name="Followed Hyperlink" xfId="1250" builtinId="9" hidden="1"/>
    <cellStyle name="Followed Hyperlink" xfId="1251" builtinId="9" hidden="1"/>
    <cellStyle name="Followed Hyperlink" xfId="1252" builtinId="9" hidden="1"/>
    <cellStyle name="Followed Hyperlink" xfId="1253" builtinId="9" hidden="1"/>
    <cellStyle name="Followed Hyperlink" xfId="1254" builtinId="9" hidden="1"/>
    <cellStyle name="Followed Hyperlink" xfId="1255" builtinId="9" hidden="1"/>
    <cellStyle name="Followed Hyperlink" xfId="1256" builtinId="9" hidden="1"/>
    <cellStyle name="Followed Hyperlink" xfId="1257" builtinId="9" hidden="1"/>
    <cellStyle name="Followed Hyperlink" xfId="1258" builtinId="9" hidden="1"/>
    <cellStyle name="Followed Hyperlink" xfId="1259" builtinId="9" hidden="1"/>
    <cellStyle name="Followed Hyperlink" xfId="1260" builtinId="9" hidden="1"/>
    <cellStyle name="Followed Hyperlink" xfId="1261" builtinId="9" hidden="1"/>
    <cellStyle name="Followed Hyperlink" xfId="1262" builtinId="9" hidden="1"/>
    <cellStyle name="Followed Hyperlink" xfId="1263" builtinId="9" hidden="1"/>
    <cellStyle name="Followed Hyperlink" xfId="1264" builtinId="9" hidden="1"/>
    <cellStyle name="Followed Hyperlink" xfId="1265" builtinId="9" hidden="1"/>
    <cellStyle name="Followed Hyperlink" xfId="1266" builtinId="9" hidden="1"/>
    <cellStyle name="Followed Hyperlink" xfId="1267" builtinId="9" hidden="1"/>
    <cellStyle name="Followed Hyperlink" xfId="1268" builtinId="9" hidden="1"/>
    <cellStyle name="Followed Hyperlink" xfId="1269" builtinId="9" hidden="1"/>
    <cellStyle name="Followed Hyperlink" xfId="1270" builtinId="9" hidden="1"/>
    <cellStyle name="Followed Hyperlink" xfId="1271" builtinId="9" hidden="1"/>
    <cellStyle name="Followed Hyperlink" xfId="1272" builtinId="9" hidden="1"/>
    <cellStyle name="Followed Hyperlink" xfId="1273" builtinId="9" hidden="1"/>
    <cellStyle name="Followed Hyperlink" xfId="1274" builtinId="9" hidden="1"/>
    <cellStyle name="Followed Hyperlink" xfId="1275" builtinId="9" hidden="1"/>
    <cellStyle name="Followed Hyperlink" xfId="1276" builtinId="9" hidden="1"/>
    <cellStyle name="Followed Hyperlink" xfId="1277" builtinId="9" hidden="1"/>
    <cellStyle name="Followed Hyperlink" xfId="1278" builtinId="9" hidden="1"/>
    <cellStyle name="Followed Hyperlink" xfId="1279" builtinId="9" hidden="1"/>
    <cellStyle name="Followed Hyperlink" xfId="1280" builtinId="9" hidden="1"/>
    <cellStyle name="Followed Hyperlink" xfId="1281" builtinId="9" hidden="1"/>
    <cellStyle name="Followed Hyperlink" xfId="1282" builtinId="9" hidden="1"/>
    <cellStyle name="Followed Hyperlink" xfId="1283" builtinId="9" hidden="1"/>
    <cellStyle name="Followed Hyperlink" xfId="1284" builtinId="9" hidden="1"/>
    <cellStyle name="Followed Hyperlink" xfId="1285" builtinId="9" hidden="1"/>
    <cellStyle name="Followed Hyperlink" xfId="1286" builtinId="9" hidden="1"/>
    <cellStyle name="Followed Hyperlink" xfId="1287" builtinId="9" hidden="1"/>
    <cellStyle name="Followed Hyperlink" xfId="1288" builtinId="9" hidden="1"/>
    <cellStyle name="Followed Hyperlink" xfId="1289" builtinId="9" hidden="1"/>
    <cellStyle name="Followed Hyperlink" xfId="1290" builtinId="9" hidden="1"/>
    <cellStyle name="Followed Hyperlink" xfId="1291" builtinId="9" hidden="1"/>
    <cellStyle name="Followed Hyperlink" xfId="1292" builtinId="9" hidden="1"/>
    <cellStyle name="Followed Hyperlink" xfId="1293" builtinId="9" hidden="1"/>
    <cellStyle name="Followed Hyperlink" xfId="1294" builtinId="9" hidden="1"/>
    <cellStyle name="Followed Hyperlink" xfId="1295" builtinId="9" hidden="1"/>
    <cellStyle name="Followed Hyperlink" xfId="1296" builtinId="9" hidden="1"/>
    <cellStyle name="Followed Hyperlink" xfId="1297" builtinId="9" hidden="1"/>
    <cellStyle name="Followed Hyperlink" xfId="1298" builtinId="9" hidden="1"/>
    <cellStyle name="Followed Hyperlink" xfId="1299" builtinId="9" hidden="1"/>
    <cellStyle name="Followed Hyperlink" xfId="1300" builtinId="9" hidden="1"/>
    <cellStyle name="Followed Hyperlink" xfId="1301" builtinId="9" hidden="1"/>
    <cellStyle name="Followed Hyperlink" xfId="1302" builtinId="9" hidden="1"/>
    <cellStyle name="Followed Hyperlink" xfId="1303" builtinId="9" hidden="1"/>
    <cellStyle name="Followed Hyperlink" xfId="1304" builtinId="9" hidden="1"/>
    <cellStyle name="Followed Hyperlink" xfId="1305" builtinId="9" hidden="1"/>
    <cellStyle name="Followed Hyperlink" xfId="1306" builtinId="9" hidden="1"/>
    <cellStyle name="Followed Hyperlink" xfId="1307" builtinId="9" hidden="1"/>
    <cellStyle name="Followed Hyperlink" xfId="1308" builtinId="9" hidden="1"/>
    <cellStyle name="Followed Hyperlink" xfId="1309" builtinId="9" hidden="1"/>
    <cellStyle name="Followed Hyperlink" xfId="1310" builtinId="9" hidden="1"/>
    <cellStyle name="Followed Hyperlink" xfId="1311" builtinId="9" hidden="1"/>
    <cellStyle name="Followed Hyperlink" xfId="1312" builtinId="9" hidden="1"/>
    <cellStyle name="Followed Hyperlink" xfId="1313" builtinId="9" hidden="1"/>
    <cellStyle name="Followed Hyperlink" xfId="1314" builtinId="9" hidden="1"/>
    <cellStyle name="Followed Hyperlink" xfId="1315" builtinId="9" hidden="1"/>
    <cellStyle name="Followed Hyperlink" xfId="1316" builtinId="9" hidden="1"/>
    <cellStyle name="Followed Hyperlink" xfId="1317" builtinId="9" hidden="1"/>
    <cellStyle name="Followed Hyperlink" xfId="1318" builtinId="9" hidden="1"/>
    <cellStyle name="Followed Hyperlink" xfId="1319" builtinId="9" hidden="1"/>
    <cellStyle name="Followed Hyperlink" xfId="1320" builtinId="9" hidden="1"/>
    <cellStyle name="Followed Hyperlink" xfId="1321" builtinId="9" hidden="1"/>
    <cellStyle name="Followed Hyperlink" xfId="1322" builtinId="9" hidden="1"/>
    <cellStyle name="Followed Hyperlink" xfId="1323" builtinId="9" hidden="1"/>
    <cellStyle name="Followed Hyperlink" xfId="1324" builtinId="9" hidden="1"/>
    <cellStyle name="Followed Hyperlink" xfId="1325" builtinId="9" hidden="1"/>
    <cellStyle name="Followed Hyperlink" xfId="1326" builtinId="9" hidden="1"/>
    <cellStyle name="Followed Hyperlink" xfId="1327" builtinId="9" hidden="1"/>
    <cellStyle name="Followed Hyperlink" xfId="1328" builtinId="9" hidden="1"/>
    <cellStyle name="Followed Hyperlink" xfId="1329" builtinId="9" hidden="1"/>
    <cellStyle name="Followed Hyperlink" xfId="1330" builtinId="9" hidden="1"/>
    <cellStyle name="Followed Hyperlink" xfId="1331" builtinId="9" hidden="1"/>
    <cellStyle name="Followed Hyperlink" xfId="1332" builtinId="9" hidden="1"/>
    <cellStyle name="Followed Hyperlink" xfId="1333" builtinId="9" hidden="1"/>
    <cellStyle name="Followed Hyperlink" xfId="1334" builtinId="9" hidden="1"/>
    <cellStyle name="Followed Hyperlink" xfId="1335" builtinId="9" hidden="1"/>
    <cellStyle name="Followed Hyperlink" xfId="1336" builtinId="9" hidden="1"/>
    <cellStyle name="Followed Hyperlink" xfId="1337" builtinId="9" hidden="1"/>
    <cellStyle name="Followed Hyperlink" xfId="1338" builtinId="9" hidden="1"/>
    <cellStyle name="Followed Hyperlink" xfId="1339" builtinId="9" hidden="1"/>
    <cellStyle name="Followed Hyperlink" xfId="1340" builtinId="9" hidden="1"/>
    <cellStyle name="Followed Hyperlink" xfId="1341" builtinId="9" hidden="1"/>
    <cellStyle name="Followed Hyperlink" xfId="1342" builtinId="9" hidden="1"/>
    <cellStyle name="Followed Hyperlink" xfId="1343" builtinId="9" hidden="1"/>
    <cellStyle name="Followed Hyperlink" xfId="1344" builtinId="9" hidden="1"/>
    <cellStyle name="Followed Hyperlink" xfId="1345" builtinId="9" hidden="1"/>
    <cellStyle name="Followed Hyperlink" xfId="1346" builtinId="9" hidden="1"/>
    <cellStyle name="Followed Hyperlink" xfId="1347" builtinId="9" hidden="1"/>
    <cellStyle name="Followed Hyperlink" xfId="1348" builtinId="9" hidden="1"/>
    <cellStyle name="Followed Hyperlink" xfId="1349" builtinId="9" hidden="1"/>
    <cellStyle name="Followed Hyperlink" xfId="1350" builtinId="9" hidden="1"/>
    <cellStyle name="Followed Hyperlink" xfId="1351" builtinId="9" hidden="1"/>
    <cellStyle name="Followed Hyperlink" xfId="1352" builtinId="9" hidden="1"/>
    <cellStyle name="Followed Hyperlink" xfId="1353" builtinId="9" hidden="1"/>
    <cellStyle name="Followed Hyperlink" xfId="1354" builtinId="9" hidden="1"/>
    <cellStyle name="Followed Hyperlink" xfId="1355" builtinId="9" hidden="1"/>
    <cellStyle name="Followed Hyperlink" xfId="1356" builtinId="9" hidden="1"/>
    <cellStyle name="Followed Hyperlink" xfId="1357" builtinId="9" hidden="1"/>
    <cellStyle name="Followed Hyperlink" xfId="1358" builtinId="9" hidden="1"/>
    <cellStyle name="Followed Hyperlink" xfId="1359" builtinId="9" hidden="1"/>
    <cellStyle name="Followed Hyperlink" xfId="1360" builtinId="9" hidden="1"/>
    <cellStyle name="Followed Hyperlink" xfId="1361" builtinId="9" hidden="1"/>
    <cellStyle name="Followed Hyperlink" xfId="1362" builtinId="9" hidden="1"/>
    <cellStyle name="Followed Hyperlink" xfId="1363" builtinId="9" hidden="1"/>
    <cellStyle name="Followed Hyperlink" xfId="1364" builtinId="9" hidden="1"/>
    <cellStyle name="Followed Hyperlink" xfId="1365" builtinId="9" hidden="1"/>
    <cellStyle name="Followed Hyperlink" xfId="1366" builtinId="9" hidden="1"/>
    <cellStyle name="Followed Hyperlink" xfId="1367" builtinId="9" hidden="1"/>
    <cellStyle name="Followed Hyperlink" xfId="1368" builtinId="9" hidden="1"/>
    <cellStyle name="Followed Hyperlink" xfId="1369" builtinId="9" hidden="1"/>
    <cellStyle name="Followed Hyperlink" xfId="1370" builtinId="9" hidden="1"/>
    <cellStyle name="Followed Hyperlink" xfId="1371" builtinId="9" hidden="1"/>
    <cellStyle name="Followed Hyperlink" xfId="1372" builtinId="9" hidden="1"/>
    <cellStyle name="Followed Hyperlink" xfId="1373" builtinId="9" hidden="1"/>
    <cellStyle name="Followed Hyperlink" xfId="1374" builtinId="9" hidden="1"/>
    <cellStyle name="Followed Hyperlink" xfId="1375" builtinId="9" hidden="1"/>
    <cellStyle name="Followed Hyperlink" xfId="1376" builtinId="9" hidden="1"/>
    <cellStyle name="Followed Hyperlink" xfId="1377" builtinId="9" hidden="1"/>
    <cellStyle name="Followed Hyperlink" xfId="1378" builtinId="9" hidden="1"/>
    <cellStyle name="Followed Hyperlink" xfId="1379" builtinId="9" hidden="1"/>
    <cellStyle name="Followed Hyperlink" xfId="1380" builtinId="9" hidden="1"/>
    <cellStyle name="Followed Hyperlink" xfId="1381" builtinId="9" hidden="1"/>
    <cellStyle name="Followed Hyperlink" xfId="1382" builtinId="9" hidden="1"/>
    <cellStyle name="Followed Hyperlink" xfId="1383" builtinId="9" hidden="1"/>
    <cellStyle name="Followed Hyperlink" xfId="1384" builtinId="9" hidden="1"/>
    <cellStyle name="Followed Hyperlink" xfId="1385" builtinId="9" hidden="1"/>
    <cellStyle name="Followed Hyperlink" xfId="1386" builtinId="9" hidden="1"/>
    <cellStyle name="Followed Hyperlink" xfId="1387" builtinId="9" hidden="1"/>
    <cellStyle name="Followed Hyperlink" xfId="1388" builtinId="9" hidden="1"/>
    <cellStyle name="Followed Hyperlink" xfId="1389" builtinId="9" hidden="1"/>
    <cellStyle name="Followed Hyperlink" xfId="1390" builtinId="9" hidden="1"/>
    <cellStyle name="Followed Hyperlink" xfId="1391" builtinId="9" hidden="1"/>
    <cellStyle name="Followed Hyperlink" xfId="1392" builtinId="9" hidden="1"/>
    <cellStyle name="Followed Hyperlink" xfId="1393" builtinId="9" hidden="1"/>
    <cellStyle name="Followed Hyperlink" xfId="1394" builtinId="9" hidden="1"/>
    <cellStyle name="Followed Hyperlink" xfId="1395" builtinId="9" hidden="1"/>
    <cellStyle name="Followed Hyperlink" xfId="1396" builtinId="9" hidden="1"/>
    <cellStyle name="Followed Hyperlink" xfId="1397" builtinId="9" hidden="1"/>
    <cellStyle name="Followed Hyperlink" xfId="1398" builtinId="9" hidden="1"/>
    <cellStyle name="Followed Hyperlink" xfId="1399" builtinId="9" hidden="1"/>
    <cellStyle name="Followed Hyperlink" xfId="1400" builtinId="9" hidden="1"/>
    <cellStyle name="Followed Hyperlink" xfId="1401" builtinId="9" hidden="1"/>
    <cellStyle name="Followed Hyperlink" xfId="1402" builtinId="9" hidden="1"/>
    <cellStyle name="Followed Hyperlink" xfId="1403" builtinId="9" hidden="1"/>
    <cellStyle name="Followed Hyperlink" xfId="1404" builtinId="9" hidden="1"/>
    <cellStyle name="Followed Hyperlink" xfId="1405" builtinId="9" hidden="1"/>
    <cellStyle name="Followed Hyperlink" xfId="1406" builtinId="9" hidden="1"/>
    <cellStyle name="Followed Hyperlink" xfId="1407" builtinId="9" hidden="1"/>
    <cellStyle name="Followed Hyperlink" xfId="1408" builtinId="9" hidden="1"/>
    <cellStyle name="Followed Hyperlink" xfId="1409" builtinId="9" hidden="1"/>
    <cellStyle name="Followed Hyperlink" xfId="1410" builtinId="9" hidden="1"/>
    <cellStyle name="Followed Hyperlink" xfId="1411" builtinId="9" hidden="1"/>
    <cellStyle name="Followed Hyperlink" xfId="1412" builtinId="9" hidden="1"/>
    <cellStyle name="Followed Hyperlink" xfId="1413" builtinId="9" hidden="1"/>
    <cellStyle name="Followed Hyperlink" xfId="1414" builtinId="9" hidden="1"/>
    <cellStyle name="Followed Hyperlink" xfId="1415" builtinId="9" hidden="1"/>
    <cellStyle name="Followed Hyperlink" xfId="1416" builtinId="9" hidden="1"/>
    <cellStyle name="Followed Hyperlink" xfId="1417" builtinId="9" hidden="1"/>
    <cellStyle name="Followed Hyperlink" xfId="1418" builtinId="9" hidden="1"/>
    <cellStyle name="Followed Hyperlink" xfId="1419" builtinId="9" hidden="1"/>
    <cellStyle name="Followed Hyperlink" xfId="1420" builtinId="9" hidden="1"/>
    <cellStyle name="Followed Hyperlink" xfId="1421" builtinId="9" hidden="1"/>
    <cellStyle name="Followed Hyperlink" xfId="1422" builtinId="9" hidden="1"/>
    <cellStyle name="Followed Hyperlink" xfId="1423" builtinId="9" hidden="1"/>
    <cellStyle name="Followed Hyperlink" xfId="1424" builtinId="9" hidden="1"/>
    <cellStyle name="Followed Hyperlink" xfId="1425" builtinId="9" hidden="1"/>
    <cellStyle name="Followed Hyperlink" xfId="1426" builtinId="9" hidden="1"/>
    <cellStyle name="Followed Hyperlink" xfId="1427" builtinId="9" hidden="1"/>
    <cellStyle name="Followed Hyperlink" xfId="1428" builtinId="9" hidden="1"/>
    <cellStyle name="Followed Hyperlink" xfId="1429" builtinId="9" hidden="1"/>
    <cellStyle name="Followed Hyperlink" xfId="1430" builtinId="9" hidden="1"/>
    <cellStyle name="Followed Hyperlink" xfId="1431" builtinId="9" hidden="1"/>
    <cellStyle name="Followed Hyperlink" xfId="1432" builtinId="9" hidden="1"/>
    <cellStyle name="Followed Hyperlink" xfId="1433" builtinId="9" hidden="1"/>
    <cellStyle name="Followed Hyperlink" xfId="1434" builtinId="9" hidden="1"/>
    <cellStyle name="Followed Hyperlink" xfId="1435" builtinId="9" hidden="1"/>
    <cellStyle name="Followed Hyperlink" xfId="1436" builtinId="9" hidden="1"/>
    <cellStyle name="Followed Hyperlink" xfId="1437" builtinId="9" hidden="1"/>
    <cellStyle name="Followed Hyperlink" xfId="1438" builtinId="9" hidden="1"/>
    <cellStyle name="Followed Hyperlink" xfId="1439" builtinId="9" hidden="1"/>
    <cellStyle name="Followed Hyperlink" xfId="1440" builtinId="9" hidden="1"/>
    <cellStyle name="Followed Hyperlink" xfId="1441" builtinId="9" hidden="1"/>
    <cellStyle name="Followed Hyperlink" xfId="1442" builtinId="9" hidden="1"/>
    <cellStyle name="Followed Hyperlink" xfId="1443" builtinId="9" hidden="1"/>
    <cellStyle name="Followed Hyperlink" xfId="1444" builtinId="9" hidden="1"/>
    <cellStyle name="Followed Hyperlink" xfId="1445" builtinId="9" hidden="1"/>
    <cellStyle name="Followed Hyperlink" xfId="1446" builtinId="9" hidden="1"/>
    <cellStyle name="Followed Hyperlink" xfId="1447" builtinId="9" hidden="1"/>
    <cellStyle name="Followed Hyperlink" xfId="1448" builtinId="9" hidden="1"/>
    <cellStyle name="Followed Hyperlink" xfId="1449" builtinId="9" hidden="1"/>
    <cellStyle name="Followed Hyperlink" xfId="1450" builtinId="9" hidden="1"/>
    <cellStyle name="Followed Hyperlink" xfId="1451" builtinId="9" hidden="1"/>
    <cellStyle name="Followed Hyperlink" xfId="1452" builtinId="9" hidden="1"/>
    <cellStyle name="Followed Hyperlink" xfId="1453" builtinId="9" hidden="1"/>
    <cellStyle name="Followed Hyperlink" xfId="1454" builtinId="9" hidden="1"/>
    <cellStyle name="Followed Hyperlink" xfId="1455" builtinId="9" hidden="1"/>
    <cellStyle name="Followed Hyperlink" xfId="1456" builtinId="9" hidden="1"/>
    <cellStyle name="Followed Hyperlink" xfId="1457" builtinId="9" hidden="1"/>
    <cellStyle name="Followed Hyperlink" xfId="1458" builtinId="9" hidden="1"/>
    <cellStyle name="Followed Hyperlink" xfId="1459" builtinId="9" hidden="1"/>
    <cellStyle name="Followed Hyperlink" xfId="1460" builtinId="9" hidden="1"/>
    <cellStyle name="Followed Hyperlink" xfId="1461" builtinId="9" hidden="1"/>
    <cellStyle name="Followed Hyperlink" xfId="1462" builtinId="9" hidden="1"/>
    <cellStyle name="Followed Hyperlink" xfId="1463" builtinId="9" hidden="1"/>
    <cellStyle name="Followed Hyperlink" xfId="1464" builtinId="9" hidden="1"/>
    <cellStyle name="Followed Hyperlink" xfId="1465" builtinId="9" hidden="1"/>
    <cellStyle name="Followed Hyperlink" xfId="1466" builtinId="9" hidden="1"/>
    <cellStyle name="Followed Hyperlink" xfId="1467" builtinId="9" hidden="1"/>
    <cellStyle name="Followed Hyperlink" xfId="1468" builtinId="9" hidden="1"/>
    <cellStyle name="Followed Hyperlink" xfId="1469" builtinId="9" hidden="1"/>
    <cellStyle name="Followed Hyperlink" xfId="1470" builtinId="9" hidden="1"/>
    <cellStyle name="Followed Hyperlink" xfId="1471" builtinId="9" hidden="1"/>
    <cellStyle name="Followed Hyperlink" xfId="1472" builtinId="9" hidden="1"/>
    <cellStyle name="Followed Hyperlink" xfId="1473" builtinId="9" hidden="1"/>
    <cellStyle name="Followed Hyperlink" xfId="1474" builtinId="9" hidden="1"/>
    <cellStyle name="Followed Hyperlink" xfId="1475" builtinId="9" hidden="1"/>
    <cellStyle name="Followed Hyperlink" xfId="1476" builtinId="9" hidden="1"/>
    <cellStyle name="Followed Hyperlink" xfId="1477" builtinId="9" hidden="1"/>
    <cellStyle name="Followed Hyperlink" xfId="1478" builtinId="9" hidden="1"/>
    <cellStyle name="Followed Hyperlink" xfId="1479" builtinId="9" hidden="1"/>
    <cellStyle name="Followed Hyperlink" xfId="1480" builtinId="9" hidden="1"/>
    <cellStyle name="Followed Hyperlink" xfId="1481" builtinId="9" hidden="1"/>
    <cellStyle name="Followed Hyperlink" xfId="1482" builtinId="9" hidden="1"/>
    <cellStyle name="Followed Hyperlink" xfId="1483" builtinId="9" hidden="1"/>
    <cellStyle name="Followed Hyperlink" xfId="1484" builtinId="9" hidden="1"/>
    <cellStyle name="Followed Hyperlink" xfId="1485" builtinId="9" hidden="1"/>
    <cellStyle name="Followed Hyperlink" xfId="1486" builtinId="9" hidden="1"/>
    <cellStyle name="Followed Hyperlink" xfId="1487" builtinId="9" hidden="1"/>
    <cellStyle name="Followed Hyperlink" xfId="1488" builtinId="9" hidden="1"/>
    <cellStyle name="Followed Hyperlink" xfId="1489" builtinId="9" hidden="1"/>
    <cellStyle name="Followed Hyperlink" xfId="1490" builtinId="9" hidden="1"/>
    <cellStyle name="Followed Hyperlink" xfId="1491" builtinId="9" hidden="1"/>
    <cellStyle name="Followed Hyperlink" xfId="1492" builtinId="9" hidden="1"/>
    <cellStyle name="Followed Hyperlink" xfId="1493" builtinId="9" hidden="1"/>
    <cellStyle name="Followed Hyperlink" xfId="1494" builtinId="9" hidden="1"/>
    <cellStyle name="Followed Hyperlink" xfId="1495" builtinId="9" hidden="1"/>
    <cellStyle name="Followed Hyperlink" xfId="1496" builtinId="9" hidden="1"/>
    <cellStyle name="Followed Hyperlink" xfId="1497" builtinId="9" hidden="1"/>
    <cellStyle name="Followed Hyperlink" xfId="1498" builtinId="9" hidden="1"/>
    <cellStyle name="Followed Hyperlink" xfId="1499" builtinId="9" hidden="1"/>
    <cellStyle name="Followed Hyperlink" xfId="1500" builtinId="9" hidden="1"/>
    <cellStyle name="Followed Hyperlink" xfId="1501" builtinId="9" hidden="1"/>
    <cellStyle name="Followed Hyperlink" xfId="1502" builtinId="9" hidden="1"/>
    <cellStyle name="Followed Hyperlink" xfId="1503" builtinId="9" hidden="1"/>
    <cellStyle name="Followed Hyperlink" xfId="1504" builtinId="9" hidden="1"/>
    <cellStyle name="Followed Hyperlink" xfId="1505" builtinId="9" hidden="1"/>
    <cellStyle name="Followed Hyperlink" xfId="1506" builtinId="9" hidden="1"/>
    <cellStyle name="Followed Hyperlink" xfId="1507" builtinId="9" hidden="1"/>
    <cellStyle name="Followed Hyperlink" xfId="1508" builtinId="9" hidden="1"/>
    <cellStyle name="Followed Hyperlink" xfId="1509" builtinId="9" hidden="1"/>
    <cellStyle name="Followed Hyperlink" xfId="1510" builtinId="9" hidden="1"/>
    <cellStyle name="Followed Hyperlink" xfId="1511" builtinId="9" hidden="1"/>
    <cellStyle name="Followed Hyperlink" xfId="1512" builtinId="9" hidden="1"/>
    <cellStyle name="Followed Hyperlink" xfId="1513" builtinId="9" hidden="1"/>
    <cellStyle name="Followed Hyperlink" xfId="1514" builtinId="9" hidden="1"/>
    <cellStyle name="Followed Hyperlink" xfId="1515" builtinId="9" hidden="1"/>
    <cellStyle name="Followed Hyperlink" xfId="1516" builtinId="9" hidden="1"/>
    <cellStyle name="Followed Hyperlink" xfId="1517" builtinId="9" hidden="1"/>
    <cellStyle name="Followed Hyperlink" xfId="1518" builtinId="9" hidden="1"/>
    <cellStyle name="Followed Hyperlink" xfId="1519" builtinId="9" hidden="1"/>
    <cellStyle name="Followed Hyperlink" xfId="1520" builtinId="9" hidden="1"/>
    <cellStyle name="Followed Hyperlink" xfId="1521" builtinId="9" hidden="1"/>
    <cellStyle name="Followed Hyperlink" xfId="1522" builtinId="9" hidden="1"/>
    <cellStyle name="Followed Hyperlink" xfId="1523" builtinId="9" hidden="1"/>
    <cellStyle name="Followed Hyperlink" xfId="1524" builtinId="9" hidden="1"/>
    <cellStyle name="Followed Hyperlink" xfId="1525" builtinId="9" hidden="1"/>
    <cellStyle name="Followed Hyperlink" xfId="1526" builtinId="9" hidden="1"/>
    <cellStyle name="Followed Hyperlink" xfId="1527" builtinId="9" hidden="1"/>
    <cellStyle name="Followed Hyperlink" xfId="1528" builtinId="9" hidden="1"/>
    <cellStyle name="Followed Hyperlink" xfId="1529" builtinId="9" hidden="1"/>
    <cellStyle name="Followed Hyperlink" xfId="1530" builtinId="9" hidden="1"/>
    <cellStyle name="Followed Hyperlink" xfId="1531" builtinId="9" hidden="1"/>
    <cellStyle name="Followed Hyperlink" xfId="1532" builtinId="9" hidden="1"/>
    <cellStyle name="Followed Hyperlink" xfId="1533" builtinId="9" hidden="1"/>
    <cellStyle name="Followed Hyperlink" xfId="1534" builtinId="9" hidden="1"/>
    <cellStyle name="Followed Hyperlink" xfId="1535" builtinId="9" hidden="1"/>
    <cellStyle name="Followed Hyperlink" xfId="1536" builtinId="9" hidden="1"/>
    <cellStyle name="Followed Hyperlink" xfId="1537" builtinId="9" hidden="1"/>
    <cellStyle name="Followed Hyperlink" xfId="1538" builtinId="9" hidden="1"/>
    <cellStyle name="Followed Hyperlink" xfId="1539" builtinId="9" hidden="1"/>
    <cellStyle name="Followed Hyperlink" xfId="1540" builtinId="9" hidden="1"/>
    <cellStyle name="Followed Hyperlink" xfId="1541" builtinId="9" hidden="1"/>
    <cellStyle name="Followed Hyperlink" xfId="1542" builtinId="9" hidden="1"/>
    <cellStyle name="Followed Hyperlink" xfId="1543" builtinId="9" hidden="1"/>
    <cellStyle name="Followed Hyperlink" xfId="1544" builtinId="9" hidden="1"/>
    <cellStyle name="Followed Hyperlink" xfId="1545" builtinId="9" hidden="1"/>
    <cellStyle name="Followed Hyperlink" xfId="1546" builtinId="9" hidden="1"/>
    <cellStyle name="Followed Hyperlink" xfId="1547" builtinId="9" hidden="1"/>
    <cellStyle name="Followed Hyperlink" xfId="1548" builtinId="9" hidden="1"/>
    <cellStyle name="Followed Hyperlink" xfId="1549" builtinId="9" hidden="1"/>
    <cellStyle name="Followed Hyperlink" xfId="1550" builtinId="9" hidden="1"/>
    <cellStyle name="Followed Hyperlink" xfId="1551" builtinId="9" hidden="1"/>
    <cellStyle name="Followed Hyperlink" xfId="1552" builtinId="9" hidden="1"/>
    <cellStyle name="Followed Hyperlink" xfId="1553" builtinId="9" hidden="1"/>
    <cellStyle name="Followed Hyperlink" xfId="1554" builtinId="9" hidden="1"/>
    <cellStyle name="Followed Hyperlink" xfId="1555" builtinId="9" hidden="1"/>
    <cellStyle name="Followed Hyperlink" xfId="1556" builtinId="9" hidden="1"/>
    <cellStyle name="Followed Hyperlink" xfId="1557" builtinId="9" hidden="1"/>
    <cellStyle name="Followed Hyperlink" xfId="1558" builtinId="9" hidden="1"/>
    <cellStyle name="Followed Hyperlink" xfId="1559" builtinId="9" hidden="1"/>
    <cellStyle name="Followed Hyperlink" xfId="1560" builtinId="9" hidden="1"/>
    <cellStyle name="Followed Hyperlink" xfId="1561" builtinId="9" hidden="1"/>
    <cellStyle name="Followed Hyperlink" xfId="1562" builtinId="9" hidden="1"/>
    <cellStyle name="Followed Hyperlink" xfId="1563" builtinId="9" hidden="1"/>
    <cellStyle name="Followed Hyperlink" xfId="1564" builtinId="9" hidden="1"/>
    <cellStyle name="Followed Hyperlink" xfId="1565" builtinId="9" hidden="1"/>
    <cellStyle name="Followed Hyperlink" xfId="1566" builtinId="9" hidden="1"/>
    <cellStyle name="Followed Hyperlink" xfId="1567" builtinId="9" hidden="1"/>
    <cellStyle name="Followed Hyperlink" xfId="1568" builtinId="9" hidden="1"/>
    <cellStyle name="Followed Hyperlink" xfId="1569" builtinId="9" hidden="1"/>
    <cellStyle name="Followed Hyperlink" xfId="1570" builtinId="9" hidden="1"/>
    <cellStyle name="Followed Hyperlink" xfId="1571" builtinId="9" hidden="1"/>
    <cellStyle name="Followed Hyperlink" xfId="1572" builtinId="9" hidden="1"/>
    <cellStyle name="Followed Hyperlink" xfId="1573" builtinId="9" hidden="1"/>
    <cellStyle name="Followed Hyperlink" xfId="1574" builtinId="9" hidden="1"/>
    <cellStyle name="Followed Hyperlink" xfId="1575" builtinId="9" hidden="1"/>
    <cellStyle name="Followed Hyperlink" xfId="1576" builtinId="9" hidden="1"/>
    <cellStyle name="Followed Hyperlink" xfId="1577" builtinId="9" hidden="1"/>
    <cellStyle name="Followed Hyperlink" xfId="1578" builtinId="9" hidden="1"/>
    <cellStyle name="Followed Hyperlink" xfId="1579" builtinId="9" hidden="1"/>
    <cellStyle name="Followed Hyperlink" xfId="1580" builtinId="9" hidden="1"/>
    <cellStyle name="Followed Hyperlink" xfId="1581" builtinId="9" hidden="1"/>
    <cellStyle name="Followed Hyperlink" xfId="1582" builtinId="9" hidden="1"/>
    <cellStyle name="Followed Hyperlink" xfId="1583" builtinId="9" hidden="1"/>
    <cellStyle name="Followed Hyperlink" xfId="1584" builtinId="9" hidden="1"/>
    <cellStyle name="Followed Hyperlink" xfId="1585" builtinId="9" hidden="1"/>
    <cellStyle name="Followed Hyperlink" xfId="1586" builtinId="9" hidden="1"/>
    <cellStyle name="Followed Hyperlink" xfId="1587" builtinId="9" hidden="1"/>
    <cellStyle name="Followed Hyperlink" xfId="1588" builtinId="9" hidden="1"/>
    <cellStyle name="Followed Hyperlink" xfId="1589" builtinId="9" hidden="1"/>
    <cellStyle name="Followed Hyperlink" xfId="1590" builtinId="9" hidden="1"/>
    <cellStyle name="Followed Hyperlink" xfId="1591" builtinId="9" hidden="1"/>
    <cellStyle name="Followed Hyperlink" xfId="1592" builtinId="9" hidden="1"/>
    <cellStyle name="Followed Hyperlink" xfId="1593" builtinId="9" hidden="1"/>
    <cellStyle name="Followed Hyperlink" xfId="1594" builtinId="9" hidden="1"/>
    <cellStyle name="Followed Hyperlink" xfId="1595" builtinId="9" hidden="1"/>
    <cellStyle name="Followed Hyperlink" xfId="1596" builtinId="9" hidden="1"/>
    <cellStyle name="Followed Hyperlink" xfId="1597" builtinId="9" hidden="1"/>
    <cellStyle name="Followed Hyperlink" xfId="1598" builtinId="9" hidden="1"/>
    <cellStyle name="Followed Hyperlink" xfId="1599" builtinId="9" hidden="1"/>
    <cellStyle name="Followed Hyperlink" xfId="1600" builtinId="9" hidden="1"/>
    <cellStyle name="Followed Hyperlink" xfId="1601" builtinId="9" hidden="1"/>
    <cellStyle name="Followed Hyperlink" xfId="1602" builtinId="9" hidden="1"/>
    <cellStyle name="Followed Hyperlink" xfId="1603" builtinId="9" hidden="1"/>
    <cellStyle name="Followed Hyperlink" xfId="1604" builtinId="9" hidden="1"/>
    <cellStyle name="Followed Hyperlink" xfId="1605" builtinId="9" hidden="1"/>
    <cellStyle name="Followed Hyperlink" xfId="1606" builtinId="9" hidden="1"/>
    <cellStyle name="Followed Hyperlink" xfId="1607" builtinId="9" hidden="1"/>
    <cellStyle name="Followed Hyperlink" xfId="1608" builtinId="9" hidden="1"/>
    <cellStyle name="Followed Hyperlink" xfId="1609" builtinId="9" hidden="1"/>
    <cellStyle name="Followed Hyperlink" xfId="1610" builtinId="9" hidden="1"/>
    <cellStyle name="Followed Hyperlink" xfId="1611" builtinId="9" hidden="1"/>
    <cellStyle name="Followed Hyperlink" xfId="1612" builtinId="9" hidden="1"/>
    <cellStyle name="Followed Hyperlink" xfId="1613" builtinId="9" hidden="1"/>
    <cellStyle name="Followed Hyperlink" xfId="1614" builtinId="9" hidden="1"/>
    <cellStyle name="Followed Hyperlink" xfId="1615" builtinId="9" hidden="1"/>
    <cellStyle name="Followed Hyperlink" xfId="1616" builtinId="9" hidden="1"/>
    <cellStyle name="Followed Hyperlink" xfId="1617" builtinId="9" hidden="1"/>
    <cellStyle name="Followed Hyperlink" xfId="1618" builtinId="9" hidden="1"/>
    <cellStyle name="Followed Hyperlink" xfId="1619" builtinId="9" hidden="1"/>
    <cellStyle name="Followed Hyperlink" xfId="1620" builtinId="9" hidden="1"/>
    <cellStyle name="Followed Hyperlink" xfId="1621" builtinId="9" hidden="1"/>
    <cellStyle name="Followed Hyperlink" xfId="1622" builtinId="9" hidden="1"/>
    <cellStyle name="Followed Hyperlink" xfId="1623" builtinId="9" hidden="1"/>
    <cellStyle name="Followed Hyperlink" xfId="1624" builtinId="9" hidden="1"/>
    <cellStyle name="Followed Hyperlink" xfId="1625" builtinId="9" hidden="1"/>
    <cellStyle name="Followed Hyperlink" xfId="1626" builtinId="9" hidden="1"/>
    <cellStyle name="Followed Hyperlink" xfId="1627" builtinId="9" hidden="1"/>
    <cellStyle name="Followed Hyperlink" xfId="1628" builtinId="9" hidden="1"/>
    <cellStyle name="Followed Hyperlink" xfId="1629" builtinId="9" hidden="1"/>
    <cellStyle name="Followed Hyperlink" xfId="1630" builtinId="9" hidden="1"/>
    <cellStyle name="Followed Hyperlink" xfId="1631" builtinId="9" hidden="1"/>
    <cellStyle name="Followed Hyperlink" xfId="1632" builtinId="9" hidden="1"/>
    <cellStyle name="Followed Hyperlink" xfId="1633" builtinId="9" hidden="1"/>
    <cellStyle name="Followed Hyperlink" xfId="1634" builtinId="9" hidden="1"/>
    <cellStyle name="Followed Hyperlink" xfId="1635" builtinId="9" hidden="1"/>
    <cellStyle name="Followed Hyperlink" xfId="1636" builtinId="9" hidden="1"/>
    <cellStyle name="Followed Hyperlink" xfId="1637" builtinId="9" hidden="1"/>
    <cellStyle name="Followed Hyperlink" xfId="1638" builtinId="9" hidden="1"/>
    <cellStyle name="Followed Hyperlink" xfId="1639" builtinId="9" hidden="1"/>
    <cellStyle name="Followed Hyperlink" xfId="1640" builtinId="9" hidden="1"/>
    <cellStyle name="Followed Hyperlink" xfId="1641" builtinId="9" hidden="1"/>
    <cellStyle name="Followed Hyperlink" xfId="1642" builtinId="9" hidden="1"/>
    <cellStyle name="Followed Hyperlink" xfId="1643" builtinId="9" hidden="1"/>
    <cellStyle name="Followed Hyperlink" xfId="1644" builtinId="9" hidden="1"/>
    <cellStyle name="Followed Hyperlink" xfId="1645" builtinId="9" hidden="1"/>
    <cellStyle name="Followed Hyperlink" xfId="1646" builtinId="9" hidden="1"/>
    <cellStyle name="Followed Hyperlink" xfId="1647" builtinId="9" hidden="1"/>
    <cellStyle name="Followed Hyperlink" xfId="1648" builtinId="9" hidden="1"/>
    <cellStyle name="Followed Hyperlink" xfId="1649" builtinId="9" hidden="1"/>
    <cellStyle name="Followed Hyperlink" xfId="1650" builtinId="9" hidden="1"/>
    <cellStyle name="Followed Hyperlink" xfId="1651" builtinId="9" hidden="1"/>
    <cellStyle name="Followed Hyperlink" xfId="1652" builtinId="9" hidden="1"/>
    <cellStyle name="Followed Hyperlink" xfId="1653" builtinId="9" hidden="1"/>
    <cellStyle name="Followed Hyperlink" xfId="1654" builtinId="9" hidden="1"/>
    <cellStyle name="Followed Hyperlink" xfId="1655" builtinId="9" hidden="1"/>
    <cellStyle name="Followed Hyperlink" xfId="1656" builtinId="9" hidden="1"/>
    <cellStyle name="Followed Hyperlink" xfId="1657" builtinId="9" hidden="1"/>
    <cellStyle name="Followed Hyperlink" xfId="1658" builtinId="9" hidden="1"/>
    <cellStyle name="Followed Hyperlink" xfId="1659" builtinId="9" hidden="1"/>
    <cellStyle name="Followed Hyperlink" xfId="1660" builtinId="9" hidden="1"/>
    <cellStyle name="Followed Hyperlink" xfId="1661" builtinId="9" hidden="1"/>
    <cellStyle name="Followed Hyperlink" xfId="1662" builtinId="9" hidden="1"/>
    <cellStyle name="Followed Hyperlink" xfId="1663" builtinId="9" hidden="1"/>
    <cellStyle name="Followed Hyperlink" xfId="1664" builtinId="9" hidden="1"/>
    <cellStyle name="Followed Hyperlink" xfId="1665" builtinId="9" hidden="1"/>
    <cellStyle name="Followed Hyperlink" xfId="1666" builtinId="9" hidden="1"/>
    <cellStyle name="Followed Hyperlink" xfId="1667" builtinId="9" hidden="1"/>
    <cellStyle name="Followed Hyperlink" xfId="1668" builtinId="9" hidden="1"/>
    <cellStyle name="Followed Hyperlink" xfId="1669" builtinId="9" hidden="1"/>
    <cellStyle name="Followed Hyperlink" xfId="1670" builtinId="9" hidden="1"/>
    <cellStyle name="Followed Hyperlink" xfId="1671" builtinId="9" hidden="1"/>
    <cellStyle name="Followed Hyperlink" xfId="1672" builtinId="9" hidden="1"/>
    <cellStyle name="Followed Hyperlink" xfId="1673" builtinId="9" hidden="1"/>
    <cellStyle name="Followed Hyperlink" xfId="1674" builtinId="9" hidden="1"/>
    <cellStyle name="Followed Hyperlink" xfId="1675" builtinId="9" hidden="1"/>
    <cellStyle name="Followed Hyperlink" xfId="1676" builtinId="9" hidden="1"/>
    <cellStyle name="Followed Hyperlink" xfId="1677" builtinId="9" hidden="1"/>
    <cellStyle name="Followed Hyperlink" xfId="1678" builtinId="9" hidden="1"/>
    <cellStyle name="Followed Hyperlink" xfId="1679" builtinId="9" hidden="1"/>
    <cellStyle name="Followed Hyperlink" xfId="1680" builtinId="9" hidden="1"/>
    <cellStyle name="Followed Hyperlink" xfId="1681" builtinId="9" hidden="1"/>
    <cellStyle name="Followed Hyperlink" xfId="1682" builtinId="9" hidden="1"/>
    <cellStyle name="Followed Hyperlink" xfId="1683" builtinId="9" hidden="1"/>
    <cellStyle name="Followed Hyperlink" xfId="1684" builtinId="9" hidden="1"/>
    <cellStyle name="Followed Hyperlink" xfId="1685" builtinId="9" hidden="1"/>
    <cellStyle name="Followed Hyperlink" xfId="1686" builtinId="9" hidden="1"/>
    <cellStyle name="Followed Hyperlink" xfId="1687" builtinId="9" hidden="1"/>
    <cellStyle name="Followed Hyperlink" xfId="1688" builtinId="9" hidden="1"/>
    <cellStyle name="Followed Hyperlink" xfId="1689" builtinId="9" hidden="1"/>
    <cellStyle name="Followed Hyperlink" xfId="1690" builtinId="9" hidden="1"/>
    <cellStyle name="Followed Hyperlink" xfId="1691" builtinId="9" hidden="1"/>
    <cellStyle name="Followed Hyperlink" xfId="1692" builtinId="9" hidden="1"/>
    <cellStyle name="Followed Hyperlink" xfId="1693" builtinId="9" hidden="1"/>
    <cellStyle name="Followed Hyperlink" xfId="1694" builtinId="9" hidden="1"/>
    <cellStyle name="Followed Hyperlink" xfId="1695" builtinId="9" hidden="1"/>
    <cellStyle name="Followed Hyperlink" xfId="1696" builtinId="9" hidden="1"/>
    <cellStyle name="Followed Hyperlink" xfId="1697" builtinId="9" hidden="1"/>
    <cellStyle name="Followed Hyperlink" xfId="1698" builtinId="9" hidden="1"/>
    <cellStyle name="Followed Hyperlink" xfId="1699" builtinId="9" hidden="1"/>
    <cellStyle name="Followed Hyperlink" xfId="1700" builtinId="9" hidden="1"/>
    <cellStyle name="Followed Hyperlink" xfId="1701" builtinId="9" hidden="1"/>
    <cellStyle name="Followed Hyperlink" xfId="1702" builtinId="9" hidden="1"/>
    <cellStyle name="Followed Hyperlink" xfId="1703" builtinId="9" hidden="1"/>
    <cellStyle name="Followed Hyperlink" xfId="1704" builtinId="9" hidden="1"/>
    <cellStyle name="Followed Hyperlink" xfId="1705" builtinId="9" hidden="1"/>
    <cellStyle name="Followed Hyperlink" xfId="1706" builtinId="9" hidden="1"/>
    <cellStyle name="Followed Hyperlink" xfId="1707" builtinId="9" hidden="1"/>
    <cellStyle name="Followed Hyperlink" xfId="1708" builtinId="9" hidden="1"/>
    <cellStyle name="Followed Hyperlink" xfId="1709" builtinId="9" hidden="1"/>
    <cellStyle name="Followed Hyperlink" xfId="1710" builtinId="9" hidden="1"/>
    <cellStyle name="Followed Hyperlink" xfId="1711" builtinId="9" hidden="1"/>
    <cellStyle name="Followed Hyperlink" xfId="1712" builtinId="9" hidden="1"/>
    <cellStyle name="Followed Hyperlink" xfId="1713" builtinId="9" hidden="1"/>
    <cellStyle name="Followed Hyperlink" xfId="1714" builtinId="9" hidden="1"/>
    <cellStyle name="Followed Hyperlink" xfId="1715" builtinId="9" hidden="1"/>
    <cellStyle name="Followed Hyperlink" xfId="1716" builtinId="9" hidden="1"/>
    <cellStyle name="Followed Hyperlink" xfId="1717" builtinId="9" hidden="1"/>
    <cellStyle name="Followed Hyperlink" xfId="1718" builtinId="9" hidden="1"/>
    <cellStyle name="Followed Hyperlink" xfId="1719" builtinId="9" hidden="1"/>
    <cellStyle name="Followed Hyperlink" xfId="1720" builtinId="9" hidden="1"/>
    <cellStyle name="Followed Hyperlink" xfId="1721" builtinId="9" hidden="1"/>
    <cellStyle name="Followed Hyperlink" xfId="1722" builtinId="9" hidden="1"/>
    <cellStyle name="Followed Hyperlink" xfId="1723" builtinId="9" hidden="1"/>
    <cellStyle name="Followed Hyperlink" xfId="1724" builtinId="9" hidden="1"/>
    <cellStyle name="Followed Hyperlink" xfId="1725" builtinId="9" hidden="1"/>
    <cellStyle name="Followed Hyperlink" xfId="1726" builtinId="9" hidden="1"/>
    <cellStyle name="Followed Hyperlink" xfId="1727" builtinId="9" hidden="1"/>
    <cellStyle name="Followed Hyperlink" xfId="1728" builtinId="9" hidden="1"/>
    <cellStyle name="Followed Hyperlink" xfId="1729" builtinId="9" hidden="1"/>
    <cellStyle name="Followed Hyperlink" xfId="1730" builtinId="9" hidden="1"/>
    <cellStyle name="Followed Hyperlink" xfId="1731" builtinId="9" hidden="1"/>
    <cellStyle name="Followed Hyperlink" xfId="1732" builtinId="9" hidden="1"/>
    <cellStyle name="Followed Hyperlink" xfId="1733" builtinId="9" hidden="1"/>
    <cellStyle name="Followed Hyperlink" xfId="1734" builtinId="9" hidden="1"/>
    <cellStyle name="Followed Hyperlink" xfId="1735" builtinId="9" hidden="1"/>
    <cellStyle name="Followed Hyperlink" xfId="1736" builtinId="9" hidden="1"/>
    <cellStyle name="Followed Hyperlink" xfId="1737" builtinId="9" hidden="1"/>
    <cellStyle name="Followed Hyperlink" xfId="1738" builtinId="9" hidden="1"/>
    <cellStyle name="Followed Hyperlink" xfId="1739" builtinId="9" hidden="1"/>
    <cellStyle name="Followed Hyperlink" xfId="1740" builtinId="9" hidden="1"/>
    <cellStyle name="Followed Hyperlink" xfId="1741" builtinId="9" hidden="1"/>
    <cellStyle name="Followed Hyperlink" xfId="1742" builtinId="9" hidden="1"/>
    <cellStyle name="Followed Hyperlink" xfId="1743" builtinId="9" hidden="1"/>
    <cellStyle name="Followed Hyperlink" xfId="1744" builtinId="9" hidden="1"/>
    <cellStyle name="Followed Hyperlink" xfId="1745" builtinId="9" hidden="1"/>
    <cellStyle name="Followed Hyperlink" xfId="1746" builtinId="9" hidden="1"/>
    <cellStyle name="Followed Hyperlink" xfId="1747" builtinId="9" hidden="1"/>
    <cellStyle name="Followed Hyperlink" xfId="1748" builtinId="9" hidden="1"/>
    <cellStyle name="Followed Hyperlink" xfId="1749" builtinId="9" hidden="1"/>
    <cellStyle name="Followed Hyperlink" xfId="1750" builtinId="9" hidden="1"/>
    <cellStyle name="Followed Hyperlink" xfId="1751" builtinId="9" hidden="1"/>
    <cellStyle name="Followed Hyperlink" xfId="1752" builtinId="9" hidden="1"/>
    <cellStyle name="Followed Hyperlink" xfId="1753" builtinId="9" hidden="1"/>
    <cellStyle name="Followed Hyperlink" xfId="1754" builtinId="9" hidden="1"/>
    <cellStyle name="Followed Hyperlink" xfId="1755" builtinId="9" hidden="1"/>
    <cellStyle name="Followed Hyperlink" xfId="1756" builtinId="9" hidden="1"/>
    <cellStyle name="Followed Hyperlink" xfId="1757" builtinId="9" hidden="1"/>
    <cellStyle name="Followed Hyperlink" xfId="1758" builtinId="9" hidden="1"/>
    <cellStyle name="Followed Hyperlink" xfId="1759" builtinId="9" hidden="1"/>
    <cellStyle name="Followed Hyperlink" xfId="1760" builtinId="9" hidden="1"/>
    <cellStyle name="Followed Hyperlink" xfId="1761" builtinId="9" hidden="1"/>
    <cellStyle name="Followed Hyperlink" xfId="1762" builtinId="9" hidden="1"/>
    <cellStyle name="Followed Hyperlink" xfId="1763" builtinId="9" hidden="1"/>
    <cellStyle name="Followed Hyperlink" xfId="1764" builtinId="9" hidden="1"/>
    <cellStyle name="Followed Hyperlink" xfId="1765" builtinId="9" hidden="1"/>
    <cellStyle name="Followed Hyperlink" xfId="1766" builtinId="9" hidden="1"/>
    <cellStyle name="Followed Hyperlink" xfId="1767" builtinId="9" hidden="1"/>
    <cellStyle name="Followed Hyperlink" xfId="1768" builtinId="9" hidden="1"/>
    <cellStyle name="Followed Hyperlink" xfId="1769" builtinId="9" hidden="1"/>
    <cellStyle name="Followed Hyperlink" xfId="1770" builtinId="9" hidden="1"/>
    <cellStyle name="Followed Hyperlink" xfId="1771" builtinId="9" hidden="1"/>
    <cellStyle name="Followed Hyperlink" xfId="1772" builtinId="9" hidden="1"/>
    <cellStyle name="Followed Hyperlink" xfId="1773" builtinId="9" hidden="1"/>
    <cellStyle name="Followed Hyperlink" xfId="1774" builtinId="9" hidden="1"/>
    <cellStyle name="Followed Hyperlink" xfId="1775" builtinId="9" hidden="1"/>
    <cellStyle name="Followed Hyperlink" xfId="1776" builtinId="9" hidden="1"/>
    <cellStyle name="Followed Hyperlink" xfId="1777" builtinId="9" hidden="1"/>
    <cellStyle name="Followed Hyperlink" xfId="1778" builtinId="9" hidden="1"/>
    <cellStyle name="Followed Hyperlink" xfId="1779" builtinId="9" hidden="1"/>
    <cellStyle name="Followed Hyperlink" xfId="1780" builtinId="9" hidden="1"/>
    <cellStyle name="Followed Hyperlink" xfId="1781" builtinId="9" hidden="1"/>
    <cellStyle name="Followed Hyperlink" xfId="1782" builtinId="9" hidden="1"/>
    <cellStyle name="Followed Hyperlink" xfId="1783" builtinId="9" hidden="1"/>
    <cellStyle name="Followed Hyperlink" xfId="1784" builtinId="9" hidden="1"/>
    <cellStyle name="Followed Hyperlink" xfId="1785" builtinId="9" hidden="1"/>
    <cellStyle name="Followed Hyperlink" xfId="1786" builtinId="9" hidden="1"/>
    <cellStyle name="Followed Hyperlink" xfId="1787" builtinId="9" hidden="1"/>
    <cellStyle name="Followed Hyperlink" xfId="1788" builtinId="9" hidden="1"/>
    <cellStyle name="Followed Hyperlink" xfId="1789" builtinId="9" hidden="1"/>
    <cellStyle name="Followed Hyperlink" xfId="1790" builtinId="9" hidden="1"/>
    <cellStyle name="Followed Hyperlink" xfId="1791" builtinId="9" hidden="1"/>
    <cellStyle name="Followed Hyperlink" xfId="1792" builtinId="9" hidden="1"/>
    <cellStyle name="Followed Hyperlink" xfId="1793" builtinId="9" hidden="1"/>
    <cellStyle name="Followed Hyperlink" xfId="1794" builtinId="9" hidden="1"/>
    <cellStyle name="Followed Hyperlink" xfId="1795" builtinId="9" hidden="1"/>
    <cellStyle name="Followed Hyperlink" xfId="1796" builtinId="9" hidden="1"/>
    <cellStyle name="Followed Hyperlink" xfId="1797" builtinId="9" hidden="1"/>
    <cellStyle name="Followed Hyperlink" xfId="1798" builtinId="9" hidden="1"/>
    <cellStyle name="Followed Hyperlink" xfId="1799" builtinId="9" hidden="1"/>
    <cellStyle name="Followed Hyperlink" xfId="1800" builtinId="9" hidden="1"/>
    <cellStyle name="Followed Hyperlink" xfId="1801" builtinId="9" hidden="1"/>
    <cellStyle name="Followed Hyperlink" xfId="1802" builtinId="9" hidden="1"/>
    <cellStyle name="Followed Hyperlink" xfId="1803" builtinId="9" hidden="1"/>
    <cellStyle name="Followed Hyperlink" xfId="1804" builtinId="9" hidden="1"/>
    <cellStyle name="Followed Hyperlink" xfId="1805" builtinId="9" hidden="1"/>
    <cellStyle name="Followed Hyperlink" xfId="1806" builtinId="9" hidden="1"/>
    <cellStyle name="Followed Hyperlink" xfId="1807" builtinId="9" hidden="1"/>
    <cellStyle name="Followed Hyperlink" xfId="1808" builtinId="9" hidden="1"/>
    <cellStyle name="Followed Hyperlink" xfId="1809" builtinId="9" hidden="1"/>
    <cellStyle name="Followed Hyperlink" xfId="1810" builtinId="9" hidden="1"/>
    <cellStyle name="Followed Hyperlink" xfId="1811" builtinId="9" hidden="1"/>
    <cellStyle name="Followed Hyperlink" xfId="1812" builtinId="9" hidden="1"/>
    <cellStyle name="Followed Hyperlink" xfId="1813" builtinId="9" hidden="1"/>
    <cellStyle name="Followed Hyperlink" xfId="1814" builtinId="9" hidden="1"/>
    <cellStyle name="Followed Hyperlink" xfId="1815" builtinId="9" hidden="1"/>
    <cellStyle name="Followed Hyperlink" xfId="1816" builtinId="9" hidden="1"/>
    <cellStyle name="Followed Hyperlink" xfId="1817" builtinId="9" hidden="1"/>
    <cellStyle name="Followed Hyperlink" xfId="1818" builtinId="9" hidden="1"/>
    <cellStyle name="Followed Hyperlink" xfId="1819" builtinId="9" hidden="1"/>
    <cellStyle name="Followed Hyperlink" xfId="1820" builtinId="9" hidden="1"/>
    <cellStyle name="Followed Hyperlink" xfId="1821" builtinId="9" hidden="1"/>
    <cellStyle name="Followed Hyperlink" xfId="1822" builtinId="9" hidden="1"/>
    <cellStyle name="Followed Hyperlink" xfId="1823" builtinId="9" hidden="1"/>
    <cellStyle name="Followed Hyperlink" xfId="1824" builtinId="9" hidden="1"/>
    <cellStyle name="Followed Hyperlink" xfId="1825" builtinId="9" hidden="1"/>
    <cellStyle name="Followed Hyperlink" xfId="1826" builtinId="9" hidden="1"/>
    <cellStyle name="Followed Hyperlink" xfId="1827" builtinId="9" hidden="1"/>
    <cellStyle name="Followed Hyperlink" xfId="1828" builtinId="9" hidden="1"/>
    <cellStyle name="Followed Hyperlink" xfId="1829" builtinId="9" hidden="1"/>
    <cellStyle name="Followed Hyperlink" xfId="1830" builtinId="9" hidden="1"/>
    <cellStyle name="Followed Hyperlink" xfId="1831" builtinId="9" hidden="1"/>
    <cellStyle name="Followed Hyperlink" xfId="1832" builtinId="9" hidden="1"/>
    <cellStyle name="Followed Hyperlink" xfId="1833" builtinId="9" hidden="1"/>
    <cellStyle name="Followed Hyperlink" xfId="1834" builtinId="9" hidden="1"/>
    <cellStyle name="Followed Hyperlink" xfId="1835" builtinId="9" hidden="1"/>
    <cellStyle name="Followed Hyperlink" xfId="1836" builtinId="9" hidden="1"/>
    <cellStyle name="Followed Hyperlink" xfId="1837" builtinId="9" hidden="1"/>
    <cellStyle name="Followed Hyperlink" xfId="1838" builtinId="9" hidden="1"/>
    <cellStyle name="Followed Hyperlink" xfId="1839" builtinId="9" hidden="1"/>
    <cellStyle name="Followed Hyperlink" xfId="1840" builtinId="9" hidden="1"/>
    <cellStyle name="Followed Hyperlink" xfId="1841" builtinId="9" hidden="1"/>
    <cellStyle name="Followed Hyperlink" xfId="1842" builtinId="9" hidden="1"/>
    <cellStyle name="Followed Hyperlink" xfId="1843" builtinId="9" hidden="1"/>
    <cellStyle name="Followed Hyperlink" xfId="1844" builtinId="9" hidden="1"/>
    <cellStyle name="Followed Hyperlink" xfId="1845" builtinId="9" hidden="1"/>
    <cellStyle name="Followed Hyperlink" xfId="1846" builtinId="9" hidden="1"/>
    <cellStyle name="Followed Hyperlink" xfId="1847" builtinId="9" hidden="1"/>
    <cellStyle name="Followed Hyperlink" xfId="1848" builtinId="9" hidden="1"/>
    <cellStyle name="Followed Hyperlink" xfId="1849" builtinId="9" hidden="1"/>
    <cellStyle name="Followed Hyperlink" xfId="1850" builtinId="9" hidden="1"/>
    <cellStyle name="Followed Hyperlink" xfId="1851" builtinId="9" hidden="1"/>
    <cellStyle name="Followed Hyperlink" xfId="1852" builtinId="9" hidden="1"/>
    <cellStyle name="Followed Hyperlink" xfId="1853" builtinId="9" hidden="1"/>
    <cellStyle name="Followed Hyperlink" xfId="1854" builtinId="9" hidden="1"/>
    <cellStyle name="Followed Hyperlink" xfId="1855" builtinId="9" hidden="1"/>
    <cellStyle name="Followed Hyperlink" xfId="1856" builtinId="9" hidden="1"/>
    <cellStyle name="Followed Hyperlink" xfId="1857" builtinId="9" hidden="1"/>
    <cellStyle name="Followed Hyperlink" xfId="1858" builtinId="9" hidden="1"/>
    <cellStyle name="Followed Hyperlink" xfId="1859" builtinId="9" hidden="1"/>
    <cellStyle name="Followed Hyperlink" xfId="1860" builtinId="9" hidden="1"/>
    <cellStyle name="Followed Hyperlink" xfId="1861" builtinId="9" hidden="1"/>
    <cellStyle name="Followed Hyperlink" xfId="1862" builtinId="9" hidden="1"/>
    <cellStyle name="Followed Hyperlink" xfId="1863" builtinId="9" hidden="1"/>
    <cellStyle name="Followed Hyperlink" xfId="1864" builtinId="9" hidden="1"/>
    <cellStyle name="Followed Hyperlink" xfId="1865" builtinId="9" hidden="1"/>
    <cellStyle name="Followed Hyperlink" xfId="1866" builtinId="9" hidden="1"/>
    <cellStyle name="Followed Hyperlink" xfId="1867" builtinId="9" hidden="1"/>
    <cellStyle name="Followed Hyperlink" xfId="1868" builtinId="9" hidden="1"/>
    <cellStyle name="Followed Hyperlink" xfId="1869" builtinId="9" hidden="1"/>
    <cellStyle name="Followed Hyperlink" xfId="1870" builtinId="9" hidden="1"/>
    <cellStyle name="Followed Hyperlink" xfId="1871" builtinId="9" hidden="1"/>
    <cellStyle name="Followed Hyperlink" xfId="1872" builtinId="9" hidden="1"/>
    <cellStyle name="Followed Hyperlink" xfId="1873" builtinId="9" hidden="1"/>
    <cellStyle name="Followed Hyperlink" xfId="1874" builtinId="9" hidden="1"/>
    <cellStyle name="Followed Hyperlink" xfId="1875" builtinId="9" hidden="1"/>
    <cellStyle name="Followed Hyperlink" xfId="1876" builtinId="9" hidden="1"/>
    <cellStyle name="Followed Hyperlink" xfId="1877" builtinId="9" hidden="1"/>
    <cellStyle name="Followed Hyperlink" xfId="1878" builtinId="9" hidden="1"/>
    <cellStyle name="Followed Hyperlink" xfId="1879" builtinId="9" hidden="1"/>
    <cellStyle name="Followed Hyperlink" xfId="1880" builtinId="9" hidden="1"/>
    <cellStyle name="Followed Hyperlink" xfId="1881" builtinId="9" hidden="1"/>
    <cellStyle name="Followed Hyperlink" xfId="1882" builtinId="9" hidden="1"/>
    <cellStyle name="Followed Hyperlink" xfId="1883" builtinId="9" hidden="1"/>
    <cellStyle name="Followed Hyperlink" xfId="1884" builtinId="9" hidden="1"/>
    <cellStyle name="Followed Hyperlink" xfId="1885" builtinId="9" hidden="1"/>
    <cellStyle name="Followed Hyperlink" xfId="1886" builtinId="9" hidden="1"/>
    <cellStyle name="Followed Hyperlink" xfId="1887" builtinId="9" hidden="1"/>
    <cellStyle name="Followed Hyperlink" xfId="1888" builtinId="9" hidden="1"/>
    <cellStyle name="Followed Hyperlink" xfId="1889" builtinId="9" hidden="1"/>
    <cellStyle name="Followed Hyperlink" xfId="1890" builtinId="9" hidden="1"/>
    <cellStyle name="Followed Hyperlink" xfId="1891" builtinId="9" hidden="1"/>
    <cellStyle name="Followed Hyperlink" xfId="1892" builtinId="9" hidden="1"/>
    <cellStyle name="Followed Hyperlink" xfId="1893" builtinId="9" hidden="1"/>
    <cellStyle name="Followed Hyperlink" xfId="1894" builtinId="9" hidden="1"/>
    <cellStyle name="Followed Hyperlink" xfId="1895" builtinId="9" hidden="1"/>
    <cellStyle name="Followed Hyperlink" xfId="1896" builtinId="9" hidden="1"/>
    <cellStyle name="Followed Hyperlink" xfId="1897" builtinId="9" hidden="1"/>
    <cellStyle name="Followed Hyperlink" xfId="1898" builtinId="9" hidden="1"/>
    <cellStyle name="Followed Hyperlink" xfId="1899" builtinId="9" hidden="1"/>
    <cellStyle name="Followed Hyperlink" xfId="1900" builtinId="9" hidden="1"/>
    <cellStyle name="Followed Hyperlink" xfId="1901" builtinId="9" hidden="1"/>
    <cellStyle name="Followed Hyperlink" xfId="1902" builtinId="9" hidden="1"/>
    <cellStyle name="Followed Hyperlink" xfId="1903" builtinId="9" hidden="1"/>
    <cellStyle name="Followed Hyperlink" xfId="1904" builtinId="9" hidden="1"/>
    <cellStyle name="Followed Hyperlink" xfId="1905" builtinId="9" hidden="1"/>
    <cellStyle name="Followed Hyperlink" xfId="1906" builtinId="9" hidden="1"/>
    <cellStyle name="Followed Hyperlink" xfId="1907" builtinId="9" hidden="1"/>
    <cellStyle name="Followed Hyperlink" xfId="1908" builtinId="9" hidden="1"/>
    <cellStyle name="Followed Hyperlink" xfId="1909" builtinId="9" hidden="1"/>
    <cellStyle name="Followed Hyperlink" xfId="1910" builtinId="9" hidden="1"/>
    <cellStyle name="Followed Hyperlink" xfId="1911" builtinId="9" hidden="1"/>
    <cellStyle name="Followed Hyperlink" xfId="1912" builtinId="9" hidden="1"/>
    <cellStyle name="Followed Hyperlink" xfId="1913" builtinId="9" hidden="1"/>
    <cellStyle name="Followed Hyperlink" xfId="1914" builtinId="9" hidden="1"/>
    <cellStyle name="Followed Hyperlink" xfId="1915" builtinId="9" hidden="1"/>
    <cellStyle name="Followed Hyperlink" xfId="1916" builtinId="9" hidden="1"/>
    <cellStyle name="Followed Hyperlink" xfId="1917" builtinId="9" hidden="1"/>
    <cellStyle name="Followed Hyperlink" xfId="1918" builtinId="9" hidden="1"/>
    <cellStyle name="Followed Hyperlink" xfId="1919" builtinId="9" hidden="1"/>
    <cellStyle name="Followed Hyperlink" xfId="1920" builtinId="9" hidden="1"/>
    <cellStyle name="Followed Hyperlink" xfId="1921" builtinId="9" hidden="1"/>
    <cellStyle name="Followed Hyperlink" xfId="1922" builtinId="9" hidden="1"/>
    <cellStyle name="Followed Hyperlink" xfId="1923" builtinId="9" hidden="1"/>
    <cellStyle name="Followed Hyperlink" xfId="1924" builtinId="9" hidden="1"/>
    <cellStyle name="Followed Hyperlink" xfId="1925" builtinId="9" hidden="1"/>
    <cellStyle name="Followed Hyperlink" xfId="1926" builtinId="9" hidden="1"/>
    <cellStyle name="Followed Hyperlink" xfId="1927" builtinId="9" hidden="1"/>
    <cellStyle name="Followed Hyperlink" xfId="1928" builtinId="9" hidden="1"/>
    <cellStyle name="Followed Hyperlink" xfId="1929" builtinId="9" hidden="1"/>
    <cellStyle name="Followed Hyperlink" xfId="1930" builtinId="9" hidden="1"/>
    <cellStyle name="Followed Hyperlink" xfId="1931" builtinId="9" hidden="1"/>
    <cellStyle name="Followed Hyperlink" xfId="1932" builtinId="9" hidden="1"/>
    <cellStyle name="Followed Hyperlink" xfId="1933" builtinId="9" hidden="1"/>
    <cellStyle name="Followed Hyperlink" xfId="1934" builtinId="9" hidden="1"/>
    <cellStyle name="Followed Hyperlink" xfId="1935" builtinId="9" hidden="1"/>
    <cellStyle name="Followed Hyperlink" xfId="1936" builtinId="9" hidden="1"/>
    <cellStyle name="Followed Hyperlink" xfId="1937" builtinId="9" hidden="1"/>
    <cellStyle name="Followed Hyperlink" xfId="1938" builtinId="9" hidden="1"/>
    <cellStyle name="Followed Hyperlink" xfId="1939" builtinId="9" hidden="1"/>
    <cellStyle name="Followed Hyperlink" xfId="1940" builtinId="9" hidden="1"/>
    <cellStyle name="Followed Hyperlink" xfId="1941" builtinId="9" hidden="1"/>
    <cellStyle name="Followed Hyperlink" xfId="1942" builtinId="9" hidden="1"/>
    <cellStyle name="Followed Hyperlink" xfId="1943" builtinId="9" hidden="1"/>
    <cellStyle name="Followed Hyperlink" xfId="1944" builtinId="9" hidden="1"/>
    <cellStyle name="Followed Hyperlink" xfId="1945" builtinId="9" hidden="1"/>
    <cellStyle name="Followed Hyperlink" xfId="1946" builtinId="9" hidden="1"/>
    <cellStyle name="Followed Hyperlink" xfId="1947" builtinId="9" hidden="1"/>
    <cellStyle name="Followed Hyperlink" xfId="1948" builtinId="9" hidden="1"/>
    <cellStyle name="Followed Hyperlink" xfId="1949" builtinId="9" hidden="1"/>
    <cellStyle name="Followed Hyperlink" xfId="1950" builtinId="9" hidden="1"/>
    <cellStyle name="Followed Hyperlink" xfId="1951" builtinId="9" hidden="1"/>
    <cellStyle name="Followed Hyperlink" xfId="1952" builtinId="9" hidden="1"/>
    <cellStyle name="Followed Hyperlink" xfId="1953" builtinId="9" hidden="1"/>
    <cellStyle name="Followed Hyperlink" xfId="1954" builtinId="9" hidden="1"/>
    <cellStyle name="Followed Hyperlink" xfId="1955" builtinId="9" hidden="1"/>
    <cellStyle name="Followed Hyperlink" xfId="1956" builtinId="9" hidden="1"/>
    <cellStyle name="Followed Hyperlink" xfId="1957" builtinId="9" hidden="1"/>
    <cellStyle name="Followed Hyperlink" xfId="1958" builtinId="9" hidden="1"/>
    <cellStyle name="Followed Hyperlink" xfId="1959" builtinId="9" hidden="1"/>
    <cellStyle name="Followed Hyperlink" xfId="1960" builtinId="9" hidden="1"/>
    <cellStyle name="Followed Hyperlink" xfId="1961" builtinId="9" hidden="1"/>
    <cellStyle name="Followed Hyperlink" xfId="1962" builtinId="9" hidden="1"/>
    <cellStyle name="Followed Hyperlink" xfId="1963" builtinId="9" hidden="1"/>
    <cellStyle name="Followed Hyperlink" xfId="1964" builtinId="9" hidden="1"/>
    <cellStyle name="Followed Hyperlink" xfId="1965" builtinId="9" hidden="1"/>
    <cellStyle name="Followed Hyperlink" xfId="1966" builtinId="9" hidden="1"/>
    <cellStyle name="Followed Hyperlink" xfId="1967" builtinId="9" hidden="1"/>
    <cellStyle name="Followed Hyperlink" xfId="1968" builtinId="9" hidden="1"/>
    <cellStyle name="Followed Hyperlink" xfId="1969" builtinId="9" hidden="1"/>
    <cellStyle name="Followed Hyperlink" xfId="1970" builtinId="9" hidden="1"/>
    <cellStyle name="Followed Hyperlink" xfId="1971" builtinId="9" hidden="1"/>
    <cellStyle name="Followed Hyperlink" xfId="1972" builtinId="9" hidden="1"/>
    <cellStyle name="Followed Hyperlink" xfId="1973" builtinId="9" hidden="1"/>
    <cellStyle name="Followed Hyperlink" xfId="1974" builtinId="9" hidden="1"/>
    <cellStyle name="Followed Hyperlink" xfId="1975" builtinId="9" hidden="1"/>
    <cellStyle name="Followed Hyperlink" xfId="1976" builtinId="9" hidden="1"/>
    <cellStyle name="Followed Hyperlink" xfId="1977" builtinId="9" hidden="1"/>
    <cellStyle name="Followed Hyperlink" xfId="1978" builtinId="9" hidden="1"/>
    <cellStyle name="Followed Hyperlink" xfId="1979" builtinId="9" hidden="1"/>
    <cellStyle name="Followed Hyperlink" xfId="1980" builtinId="9" hidden="1"/>
    <cellStyle name="Followed Hyperlink" xfId="1981" builtinId="9" hidden="1"/>
    <cellStyle name="Followed Hyperlink" xfId="1982" builtinId="9" hidden="1"/>
    <cellStyle name="Followed Hyperlink" xfId="1983" builtinId="9" hidden="1"/>
    <cellStyle name="Followed Hyperlink" xfId="1984" builtinId="9" hidden="1"/>
    <cellStyle name="Followed Hyperlink" xfId="1985" builtinId="9" hidden="1"/>
    <cellStyle name="Followed Hyperlink" xfId="1986" builtinId="9" hidden="1"/>
    <cellStyle name="Followed Hyperlink" xfId="1987" builtinId="9" hidden="1"/>
    <cellStyle name="Followed Hyperlink" xfId="1988" builtinId="9" hidden="1"/>
    <cellStyle name="Followed Hyperlink" xfId="1989" builtinId="9" hidden="1"/>
    <cellStyle name="Followed Hyperlink" xfId="1990" builtinId="9" hidden="1"/>
    <cellStyle name="Followed Hyperlink" xfId="1991" builtinId="9" hidden="1"/>
    <cellStyle name="Followed Hyperlink" xfId="1992" builtinId="9" hidden="1"/>
    <cellStyle name="Followed Hyperlink" xfId="1993" builtinId="9" hidden="1"/>
    <cellStyle name="Followed Hyperlink" xfId="1994" builtinId="9" hidden="1"/>
    <cellStyle name="Followed Hyperlink" xfId="1995" builtinId="9" hidden="1"/>
    <cellStyle name="Followed Hyperlink" xfId="1996" builtinId="9" hidden="1"/>
    <cellStyle name="Followed Hyperlink" xfId="1997" builtinId="9" hidden="1"/>
    <cellStyle name="Followed Hyperlink" xfId="1998" builtinId="9" hidden="1"/>
    <cellStyle name="Followed Hyperlink" xfId="1999" builtinId="9" hidden="1"/>
    <cellStyle name="Followed Hyperlink" xfId="2000" builtinId="9" hidden="1"/>
    <cellStyle name="Followed Hyperlink" xfId="2001" builtinId="9" hidden="1"/>
    <cellStyle name="Followed Hyperlink" xfId="2002" builtinId="9" hidden="1"/>
    <cellStyle name="Followed Hyperlink" xfId="2003" builtinId="9" hidden="1"/>
    <cellStyle name="Followed Hyperlink" xfId="2004" builtinId="9" hidden="1"/>
    <cellStyle name="Followed Hyperlink" xfId="2005" builtinId="9" hidden="1"/>
    <cellStyle name="Followed Hyperlink" xfId="2006" builtinId="9" hidden="1"/>
    <cellStyle name="Followed Hyperlink" xfId="2007" builtinId="9" hidden="1"/>
    <cellStyle name="Followed Hyperlink" xfId="2008" builtinId="9" hidden="1"/>
    <cellStyle name="Followed Hyperlink" xfId="2009" builtinId="9" hidden="1"/>
    <cellStyle name="Followed Hyperlink" xfId="2010" builtinId="9" hidden="1"/>
    <cellStyle name="Followed Hyperlink" xfId="2011" builtinId="9" hidden="1"/>
    <cellStyle name="Followed Hyperlink" xfId="2012" builtinId="9" hidden="1"/>
    <cellStyle name="Followed Hyperlink" xfId="2013" builtinId="9" hidden="1"/>
    <cellStyle name="Followed Hyperlink" xfId="2014" builtinId="9" hidden="1"/>
    <cellStyle name="Followed Hyperlink" xfId="2015" builtinId="9" hidden="1"/>
    <cellStyle name="Followed Hyperlink" xfId="2016" builtinId="9" hidden="1"/>
    <cellStyle name="Followed Hyperlink" xfId="2017" builtinId="9" hidden="1"/>
    <cellStyle name="Followed Hyperlink" xfId="2018" builtinId="9" hidden="1"/>
    <cellStyle name="Followed Hyperlink" xfId="2019" builtinId="9" hidden="1"/>
    <cellStyle name="Followed Hyperlink" xfId="2020" builtinId="9" hidden="1"/>
    <cellStyle name="Followed Hyperlink" xfId="2021" builtinId="9" hidden="1"/>
    <cellStyle name="Followed Hyperlink" xfId="2022" builtinId="9" hidden="1"/>
    <cellStyle name="Followed Hyperlink" xfId="2023" builtinId="9" hidden="1"/>
    <cellStyle name="Followed Hyperlink" xfId="2024" builtinId="9" hidden="1"/>
    <cellStyle name="Followed Hyperlink" xfId="2025" builtinId="9" hidden="1"/>
    <cellStyle name="Followed Hyperlink" xfId="2026" builtinId="9" hidden="1"/>
    <cellStyle name="Followed Hyperlink" xfId="2027" builtinId="9" hidden="1"/>
    <cellStyle name="Followed Hyperlink" xfId="2028" builtinId="9" hidden="1"/>
    <cellStyle name="Followed Hyperlink" xfId="2029" builtinId="9" hidden="1"/>
    <cellStyle name="Followed Hyperlink" xfId="2030" builtinId="9" hidden="1"/>
    <cellStyle name="Followed Hyperlink" xfId="2031" builtinId="9" hidden="1"/>
    <cellStyle name="Followed Hyperlink" xfId="2032" builtinId="9" hidden="1"/>
    <cellStyle name="Followed Hyperlink" xfId="2033" builtinId="9" hidden="1"/>
    <cellStyle name="Followed Hyperlink" xfId="2034" builtinId="9" hidden="1"/>
    <cellStyle name="Followed Hyperlink" xfId="2035" builtinId="9" hidden="1"/>
    <cellStyle name="Followed Hyperlink" xfId="2036" builtinId="9" hidden="1"/>
    <cellStyle name="Followed Hyperlink" xfId="2037" builtinId="9" hidden="1"/>
    <cellStyle name="Followed Hyperlink" xfId="2038" builtinId="9" hidden="1"/>
    <cellStyle name="Followed Hyperlink" xfId="2039" builtinId="9" hidden="1"/>
    <cellStyle name="Followed Hyperlink" xfId="2040" builtinId="9" hidden="1"/>
    <cellStyle name="Followed Hyperlink" xfId="2041" builtinId="9" hidden="1"/>
    <cellStyle name="Followed Hyperlink" xfId="2042" builtinId="9" hidden="1"/>
    <cellStyle name="Followed Hyperlink" xfId="2043" builtinId="9" hidden="1"/>
    <cellStyle name="Followed Hyperlink" xfId="2044" builtinId="9" hidden="1"/>
    <cellStyle name="Followed Hyperlink" xfId="2045" builtinId="9" hidden="1"/>
    <cellStyle name="Followed Hyperlink" xfId="2046" builtinId="9" hidden="1"/>
    <cellStyle name="Followed Hyperlink" xfId="2047" builtinId="9" hidden="1"/>
    <cellStyle name="Followed Hyperlink" xfId="2048" builtinId="9" hidden="1"/>
    <cellStyle name="Followed Hyperlink" xfId="2049" builtinId="9" hidden="1"/>
    <cellStyle name="Followed Hyperlink" xfId="2050" builtinId="9" hidden="1"/>
    <cellStyle name="Followed Hyperlink" xfId="2051" builtinId="9" hidden="1"/>
    <cellStyle name="Followed Hyperlink" xfId="2052" builtinId="9" hidden="1"/>
    <cellStyle name="Followed Hyperlink" xfId="2053" builtinId="9" hidden="1"/>
    <cellStyle name="Followed Hyperlink" xfId="2054" builtinId="9" hidden="1"/>
    <cellStyle name="Followed Hyperlink" xfId="2055" builtinId="9" hidden="1"/>
    <cellStyle name="Followed Hyperlink" xfId="2056" builtinId="9" hidden="1"/>
    <cellStyle name="Followed Hyperlink" xfId="2057" builtinId="9" hidden="1"/>
    <cellStyle name="Followed Hyperlink" xfId="2058" builtinId="9" hidden="1"/>
    <cellStyle name="Followed Hyperlink" xfId="2059" builtinId="9" hidden="1"/>
    <cellStyle name="Followed Hyperlink" xfId="2060" builtinId="9" hidden="1"/>
    <cellStyle name="Followed Hyperlink" xfId="2061" builtinId="9" hidden="1"/>
    <cellStyle name="Followed Hyperlink" xfId="2062" builtinId="9" hidden="1"/>
    <cellStyle name="Followed Hyperlink" xfId="2063" builtinId="9" hidden="1"/>
    <cellStyle name="Followed Hyperlink" xfId="2064" builtinId="9" hidden="1"/>
    <cellStyle name="Followed Hyperlink" xfId="2065" builtinId="9" hidden="1"/>
    <cellStyle name="Followed Hyperlink" xfId="2066" builtinId="9" hidden="1"/>
    <cellStyle name="Followed Hyperlink" xfId="2067" builtinId="9" hidden="1"/>
    <cellStyle name="Followed Hyperlink" xfId="2068" builtinId="9" hidden="1"/>
    <cellStyle name="Followed Hyperlink" xfId="2069" builtinId="9" hidden="1"/>
    <cellStyle name="Followed Hyperlink" xfId="2070" builtinId="9" hidden="1"/>
    <cellStyle name="Followed Hyperlink" xfId="2071" builtinId="9" hidden="1"/>
    <cellStyle name="Followed Hyperlink" xfId="2072" builtinId="9" hidden="1"/>
    <cellStyle name="Followed Hyperlink" xfId="2073" builtinId="9" hidden="1"/>
    <cellStyle name="Followed Hyperlink" xfId="2074" builtinId="9" hidden="1"/>
    <cellStyle name="Followed Hyperlink" xfId="2075" builtinId="9" hidden="1"/>
    <cellStyle name="Followed Hyperlink" xfId="2076" builtinId="9" hidden="1"/>
    <cellStyle name="Followed Hyperlink" xfId="2077" builtinId="9" hidden="1"/>
    <cellStyle name="Followed Hyperlink" xfId="2078" builtinId="9" hidden="1"/>
    <cellStyle name="Followed Hyperlink" xfId="2079" builtinId="9" hidden="1"/>
    <cellStyle name="Followed Hyperlink" xfId="2080" builtinId="9" hidden="1"/>
    <cellStyle name="Followed Hyperlink" xfId="2081" builtinId="9" hidden="1"/>
    <cellStyle name="Followed Hyperlink" xfId="2082" builtinId="9" hidden="1"/>
    <cellStyle name="Followed Hyperlink" xfId="2083" builtinId="9" hidden="1"/>
    <cellStyle name="Followed Hyperlink" xfId="2084" builtinId="9" hidden="1"/>
    <cellStyle name="Followed Hyperlink" xfId="2085" builtinId="9" hidden="1"/>
    <cellStyle name="Followed Hyperlink" xfId="2086" builtinId="9" hidden="1"/>
    <cellStyle name="Followed Hyperlink" xfId="2087" builtinId="9" hidden="1"/>
    <cellStyle name="Followed Hyperlink" xfId="2088" builtinId="9" hidden="1"/>
    <cellStyle name="Followed Hyperlink" xfId="2089" builtinId="9" hidden="1"/>
    <cellStyle name="Followed Hyperlink" xfId="2090" builtinId="9" hidden="1"/>
    <cellStyle name="Followed Hyperlink" xfId="2091" builtinId="9" hidden="1"/>
    <cellStyle name="Followed Hyperlink" xfId="2092" builtinId="9" hidden="1"/>
    <cellStyle name="Followed Hyperlink" xfId="2093" builtinId="9" hidden="1"/>
    <cellStyle name="Followed Hyperlink" xfId="2094" builtinId="9" hidden="1"/>
    <cellStyle name="Followed Hyperlink" xfId="2095" builtinId="9" hidden="1"/>
    <cellStyle name="Followed Hyperlink" xfId="2096" builtinId="9" hidden="1"/>
    <cellStyle name="Followed Hyperlink" xfId="2097" builtinId="9" hidden="1"/>
    <cellStyle name="Followed Hyperlink" xfId="2098" builtinId="9" hidden="1"/>
    <cellStyle name="Followed Hyperlink" xfId="2099" builtinId="9" hidden="1"/>
    <cellStyle name="Followed Hyperlink" xfId="2100" builtinId="9" hidden="1"/>
    <cellStyle name="Followed Hyperlink" xfId="2101" builtinId="9" hidden="1"/>
    <cellStyle name="Followed Hyperlink" xfId="2102" builtinId="9" hidden="1"/>
    <cellStyle name="Followed Hyperlink" xfId="2103" builtinId="9" hidden="1"/>
    <cellStyle name="Followed Hyperlink" xfId="2104" builtinId="9" hidden="1"/>
    <cellStyle name="Followed Hyperlink" xfId="2105" builtinId="9" hidden="1"/>
    <cellStyle name="Followed Hyperlink" xfId="2106" builtinId="9" hidden="1"/>
    <cellStyle name="Followed Hyperlink" xfId="2107" builtinId="9" hidden="1"/>
    <cellStyle name="Followed Hyperlink" xfId="2108" builtinId="9" hidden="1"/>
    <cellStyle name="Followed Hyperlink" xfId="2109" builtinId="9" hidden="1"/>
    <cellStyle name="Followed Hyperlink" xfId="2110" builtinId="9" hidden="1"/>
    <cellStyle name="Followed Hyperlink" xfId="2111" builtinId="9" hidden="1"/>
    <cellStyle name="Followed Hyperlink" xfId="2112" builtinId="9" hidden="1"/>
    <cellStyle name="Followed Hyperlink" xfId="2113" builtinId="9" hidden="1"/>
    <cellStyle name="Followed Hyperlink" xfId="2114" builtinId="9" hidden="1"/>
    <cellStyle name="Followed Hyperlink" xfId="2115" builtinId="9" hidden="1"/>
    <cellStyle name="Followed Hyperlink" xfId="2116" builtinId="9" hidden="1"/>
    <cellStyle name="Followed Hyperlink" xfId="2117" builtinId="9" hidden="1"/>
    <cellStyle name="Followed Hyperlink" xfId="2118" builtinId="9" hidden="1"/>
    <cellStyle name="Followed Hyperlink" xfId="2119" builtinId="9" hidden="1"/>
    <cellStyle name="Followed Hyperlink" xfId="2120" builtinId="9" hidden="1"/>
    <cellStyle name="Followed Hyperlink" xfId="2121" builtinId="9" hidden="1"/>
    <cellStyle name="Followed Hyperlink" xfId="2122" builtinId="9" hidden="1"/>
    <cellStyle name="Followed Hyperlink" xfId="2123" builtinId="9" hidden="1"/>
    <cellStyle name="Followed Hyperlink" xfId="2124" builtinId="9" hidden="1"/>
    <cellStyle name="Followed Hyperlink" xfId="2125" builtinId="9" hidden="1"/>
    <cellStyle name="Followed Hyperlink" xfId="2126" builtinId="9" hidden="1"/>
    <cellStyle name="Followed Hyperlink" xfId="2127" builtinId="9" hidden="1"/>
    <cellStyle name="Followed Hyperlink" xfId="2128" builtinId="9" hidden="1"/>
    <cellStyle name="Followed Hyperlink" xfId="2129" builtinId="9" hidden="1"/>
    <cellStyle name="Followed Hyperlink" xfId="2130" builtinId="9" hidden="1"/>
    <cellStyle name="Followed Hyperlink" xfId="2131" builtinId="9" hidden="1"/>
    <cellStyle name="Followed Hyperlink" xfId="2132" builtinId="9" hidden="1"/>
    <cellStyle name="Followed Hyperlink" xfId="2133" builtinId="9" hidden="1"/>
    <cellStyle name="Followed Hyperlink" xfId="2134" builtinId="9" hidden="1"/>
    <cellStyle name="Followed Hyperlink" xfId="2135" builtinId="9" hidden="1"/>
    <cellStyle name="Followed Hyperlink" xfId="2136" builtinId="9" hidden="1"/>
    <cellStyle name="Followed Hyperlink" xfId="2137" builtinId="9" hidden="1"/>
    <cellStyle name="Followed Hyperlink" xfId="2138" builtinId="9" hidden="1"/>
    <cellStyle name="Followed Hyperlink" xfId="2139" builtinId="9" hidden="1"/>
    <cellStyle name="Followed Hyperlink" xfId="2140" builtinId="9" hidden="1"/>
    <cellStyle name="Followed Hyperlink" xfId="2141" builtinId="9" hidden="1"/>
    <cellStyle name="Followed Hyperlink" xfId="2142" builtinId="9" hidden="1"/>
    <cellStyle name="Followed Hyperlink" xfId="2143" builtinId="9" hidden="1"/>
    <cellStyle name="Followed Hyperlink" xfId="2144" builtinId="9" hidden="1"/>
    <cellStyle name="Followed Hyperlink" xfId="2145" builtinId="9" hidden="1"/>
    <cellStyle name="Followed Hyperlink" xfId="2146" builtinId="9" hidden="1"/>
    <cellStyle name="Followed Hyperlink" xfId="2147" builtinId="9" hidden="1"/>
    <cellStyle name="Followed Hyperlink" xfId="2148" builtinId="9" hidden="1"/>
    <cellStyle name="Followed Hyperlink" xfId="2149" builtinId="9" hidden="1"/>
    <cellStyle name="Followed Hyperlink" xfId="2150" builtinId="9" hidden="1"/>
    <cellStyle name="Followed Hyperlink" xfId="2151" builtinId="9" hidden="1"/>
    <cellStyle name="Followed Hyperlink" xfId="2152" builtinId="9" hidden="1"/>
    <cellStyle name="Followed Hyperlink" xfId="2153" builtinId="9" hidden="1"/>
    <cellStyle name="Followed Hyperlink" xfId="2154" builtinId="9" hidden="1"/>
    <cellStyle name="Followed Hyperlink" xfId="2155" builtinId="9" hidden="1"/>
    <cellStyle name="Followed Hyperlink" xfId="2156" builtinId="9" hidden="1"/>
    <cellStyle name="Followed Hyperlink" xfId="2157" builtinId="9" hidden="1"/>
    <cellStyle name="Followed Hyperlink" xfId="2158" builtinId="9" hidden="1"/>
    <cellStyle name="Followed Hyperlink" xfId="2159" builtinId="9" hidden="1"/>
    <cellStyle name="Followed Hyperlink" xfId="2160" builtinId="9" hidden="1"/>
    <cellStyle name="Followed Hyperlink" xfId="2161" builtinId="9" hidden="1"/>
    <cellStyle name="Followed Hyperlink" xfId="2162" builtinId="9" hidden="1"/>
    <cellStyle name="Followed Hyperlink" xfId="2163" builtinId="9" hidden="1"/>
    <cellStyle name="Followed Hyperlink" xfId="2164" builtinId="9" hidden="1"/>
    <cellStyle name="Followed Hyperlink" xfId="2165" builtinId="9" hidden="1"/>
    <cellStyle name="Followed Hyperlink" xfId="2166" builtinId="9" hidden="1"/>
    <cellStyle name="Followed Hyperlink" xfId="2167" builtinId="9" hidden="1"/>
    <cellStyle name="Followed Hyperlink" xfId="2168" builtinId="9" hidden="1"/>
    <cellStyle name="Followed Hyperlink" xfId="2169" builtinId="9" hidden="1"/>
    <cellStyle name="Followed Hyperlink" xfId="2170" builtinId="9" hidden="1"/>
    <cellStyle name="Followed Hyperlink" xfId="2171" builtinId="9" hidden="1"/>
    <cellStyle name="Followed Hyperlink" xfId="2172" builtinId="9" hidden="1"/>
    <cellStyle name="Followed Hyperlink" xfId="2173" builtinId="9" hidden="1"/>
    <cellStyle name="Followed Hyperlink" xfId="2174" builtinId="9" hidden="1"/>
    <cellStyle name="Followed Hyperlink" xfId="2175" builtinId="9" hidden="1"/>
    <cellStyle name="Followed Hyperlink" xfId="2176" builtinId="9" hidden="1"/>
    <cellStyle name="Followed Hyperlink" xfId="2177" builtinId="9" hidden="1"/>
    <cellStyle name="Followed Hyperlink" xfId="2178" builtinId="9" hidden="1"/>
    <cellStyle name="Followed Hyperlink" xfId="2179" builtinId="9" hidden="1"/>
    <cellStyle name="Followed Hyperlink" xfId="2180" builtinId="9" hidden="1"/>
    <cellStyle name="Followed Hyperlink" xfId="2181" builtinId="9" hidden="1"/>
    <cellStyle name="Followed Hyperlink" xfId="2182" builtinId="9" hidden="1"/>
    <cellStyle name="Followed Hyperlink" xfId="2183" builtinId="9" hidden="1"/>
    <cellStyle name="Followed Hyperlink" xfId="2184" builtinId="9" hidden="1"/>
    <cellStyle name="Followed Hyperlink" xfId="2185" builtinId="9" hidden="1"/>
    <cellStyle name="Followed Hyperlink" xfId="2186" builtinId="9" hidden="1"/>
    <cellStyle name="Followed Hyperlink" xfId="2187" builtinId="9" hidden="1"/>
    <cellStyle name="Followed Hyperlink" xfId="2188" builtinId="9" hidden="1"/>
    <cellStyle name="Followed Hyperlink" xfId="2189" builtinId="9" hidden="1"/>
    <cellStyle name="Followed Hyperlink" xfId="2190" builtinId="9" hidden="1"/>
    <cellStyle name="Followed Hyperlink" xfId="2191" builtinId="9" hidden="1"/>
    <cellStyle name="Followed Hyperlink" xfId="2192" builtinId="9" hidden="1"/>
    <cellStyle name="Followed Hyperlink" xfId="2193" builtinId="9" hidden="1"/>
    <cellStyle name="Followed Hyperlink" xfId="2194" builtinId="9" hidden="1"/>
    <cellStyle name="Followed Hyperlink" xfId="2195" builtinId="9" hidden="1"/>
    <cellStyle name="Followed Hyperlink" xfId="2196" builtinId="9" hidden="1"/>
    <cellStyle name="Followed Hyperlink" xfId="2197" builtinId="9" hidden="1"/>
    <cellStyle name="Followed Hyperlink" xfId="2198" builtinId="9" hidden="1"/>
    <cellStyle name="Followed Hyperlink" xfId="2199" builtinId="9" hidden="1"/>
    <cellStyle name="Followed Hyperlink" xfId="2200" builtinId="9" hidden="1"/>
    <cellStyle name="Followed Hyperlink" xfId="2201" builtinId="9" hidden="1"/>
    <cellStyle name="Followed Hyperlink" xfId="2202" builtinId="9" hidden="1"/>
    <cellStyle name="Followed Hyperlink" xfId="2203" builtinId="9" hidden="1"/>
    <cellStyle name="Followed Hyperlink" xfId="2204" builtinId="9" hidden="1"/>
    <cellStyle name="Followed Hyperlink" xfId="2205" builtinId="9" hidden="1"/>
    <cellStyle name="Followed Hyperlink" xfId="2206" builtinId="9" hidden="1"/>
    <cellStyle name="Followed Hyperlink" xfId="2207" builtinId="9" hidden="1"/>
    <cellStyle name="Followed Hyperlink" xfId="2208" builtinId="9" hidden="1"/>
    <cellStyle name="Followed Hyperlink" xfId="2209" builtinId="9" hidden="1"/>
    <cellStyle name="Followed Hyperlink" xfId="2210" builtinId="9" hidden="1"/>
    <cellStyle name="Followed Hyperlink" xfId="2211" builtinId="9" hidden="1"/>
    <cellStyle name="Followed Hyperlink" xfId="2212" builtinId="9" hidden="1"/>
    <cellStyle name="Followed Hyperlink" xfId="2213" builtinId="9" hidden="1"/>
    <cellStyle name="Followed Hyperlink" xfId="2214" builtinId="9" hidden="1"/>
    <cellStyle name="Followed Hyperlink" xfId="2215" builtinId="9" hidden="1"/>
    <cellStyle name="Followed Hyperlink" xfId="2216" builtinId="9" hidden="1"/>
    <cellStyle name="Followed Hyperlink" xfId="2217" builtinId="9" hidden="1"/>
    <cellStyle name="Followed Hyperlink" xfId="2218" builtinId="9" hidden="1"/>
    <cellStyle name="Followed Hyperlink" xfId="2219" builtinId="9" hidden="1"/>
    <cellStyle name="Followed Hyperlink" xfId="2220" builtinId="9" hidden="1"/>
    <cellStyle name="Followed Hyperlink" xfId="2221" builtinId="9" hidden="1"/>
    <cellStyle name="Followed Hyperlink" xfId="2222" builtinId="9" hidden="1"/>
    <cellStyle name="Followed Hyperlink" xfId="2223" builtinId="9" hidden="1"/>
    <cellStyle name="Followed Hyperlink" xfId="2224" builtinId="9" hidden="1"/>
    <cellStyle name="Followed Hyperlink" xfId="2225" builtinId="9" hidden="1"/>
    <cellStyle name="Followed Hyperlink" xfId="2226" builtinId="9" hidden="1"/>
    <cellStyle name="Followed Hyperlink" xfId="2227" builtinId="9" hidden="1"/>
    <cellStyle name="Followed Hyperlink" xfId="2228" builtinId="9" hidden="1"/>
    <cellStyle name="Followed Hyperlink" xfId="2229" builtinId="9" hidden="1"/>
    <cellStyle name="Followed Hyperlink" xfId="2230" builtinId="9" hidden="1"/>
    <cellStyle name="Followed Hyperlink" xfId="2231" builtinId="9" hidden="1"/>
    <cellStyle name="Followed Hyperlink" xfId="2232" builtinId="9" hidden="1"/>
    <cellStyle name="Followed Hyperlink" xfId="2233" builtinId="9" hidden="1"/>
    <cellStyle name="Followed Hyperlink" xfId="2234" builtinId="9" hidden="1"/>
    <cellStyle name="Followed Hyperlink" xfId="2235" builtinId="9" hidden="1"/>
    <cellStyle name="Followed Hyperlink" xfId="2236" builtinId="9" hidden="1"/>
    <cellStyle name="Followed Hyperlink" xfId="2237" builtinId="9" hidden="1"/>
    <cellStyle name="Followed Hyperlink" xfId="2238" builtinId="9" hidden="1"/>
    <cellStyle name="Followed Hyperlink" xfId="2239" builtinId="9" hidden="1"/>
    <cellStyle name="Followed Hyperlink" xfId="2240" builtinId="9" hidden="1"/>
    <cellStyle name="Followed Hyperlink" xfId="2241" builtinId="9" hidden="1"/>
    <cellStyle name="Followed Hyperlink" xfId="2242" builtinId="9" hidden="1"/>
    <cellStyle name="Followed Hyperlink" xfId="2243" builtinId="9" hidden="1"/>
    <cellStyle name="Followed Hyperlink" xfId="2244" builtinId="9" hidden="1"/>
    <cellStyle name="Followed Hyperlink" xfId="2245" builtinId="9" hidden="1"/>
    <cellStyle name="Followed Hyperlink" xfId="2246" builtinId="9" hidden="1"/>
    <cellStyle name="Followed Hyperlink" xfId="2247" builtinId="9" hidden="1"/>
    <cellStyle name="Followed Hyperlink" xfId="2248" builtinId="9" hidden="1"/>
    <cellStyle name="Followed Hyperlink" xfId="2249" builtinId="9" hidden="1"/>
    <cellStyle name="Followed Hyperlink" xfId="2250" builtinId="9" hidden="1"/>
    <cellStyle name="Followed Hyperlink" xfId="2251" builtinId="9" hidden="1"/>
    <cellStyle name="Followed Hyperlink" xfId="2252" builtinId="9" hidden="1"/>
    <cellStyle name="Followed Hyperlink" xfId="2253" builtinId="9" hidden="1"/>
    <cellStyle name="Followed Hyperlink" xfId="2254" builtinId="9" hidden="1"/>
    <cellStyle name="Followed Hyperlink" xfId="2255" builtinId="9" hidden="1"/>
    <cellStyle name="Followed Hyperlink" xfId="2256" builtinId="9" hidden="1"/>
    <cellStyle name="Followed Hyperlink" xfId="2257" builtinId="9" hidden="1"/>
    <cellStyle name="Followed Hyperlink" xfId="2258" builtinId="9" hidden="1"/>
    <cellStyle name="Followed Hyperlink" xfId="2259" builtinId="9" hidden="1"/>
    <cellStyle name="Followed Hyperlink" xfId="2260" builtinId="9" hidden="1"/>
    <cellStyle name="Followed Hyperlink" xfId="2261" builtinId="9" hidden="1"/>
    <cellStyle name="Followed Hyperlink" xfId="2262" builtinId="9" hidden="1"/>
    <cellStyle name="Followed Hyperlink" xfId="2263" builtinId="9" hidden="1"/>
    <cellStyle name="Followed Hyperlink" xfId="2264" builtinId="9" hidden="1"/>
    <cellStyle name="Followed Hyperlink" xfId="2265" builtinId="9" hidden="1"/>
    <cellStyle name="Followed Hyperlink" xfId="2266" builtinId="9" hidden="1"/>
    <cellStyle name="Followed Hyperlink" xfId="2267" builtinId="9" hidden="1"/>
    <cellStyle name="Followed Hyperlink" xfId="2268" builtinId="9" hidden="1"/>
    <cellStyle name="Followed Hyperlink" xfId="2269" builtinId="9" hidden="1"/>
    <cellStyle name="Followed Hyperlink" xfId="2270" builtinId="9" hidden="1"/>
    <cellStyle name="Followed Hyperlink" xfId="2271" builtinId="9" hidden="1"/>
    <cellStyle name="Followed Hyperlink" xfId="2272" builtinId="9" hidden="1"/>
    <cellStyle name="Followed Hyperlink" xfId="2273" builtinId="9" hidden="1"/>
    <cellStyle name="Followed Hyperlink" xfId="2274" builtinId="9" hidden="1"/>
    <cellStyle name="Followed Hyperlink" xfId="2275" builtinId="9" hidden="1"/>
    <cellStyle name="Followed Hyperlink" xfId="2276" builtinId="9" hidden="1"/>
    <cellStyle name="Followed Hyperlink" xfId="2277" builtinId="9" hidden="1"/>
    <cellStyle name="Followed Hyperlink" xfId="2278" builtinId="9" hidden="1"/>
    <cellStyle name="Followed Hyperlink" xfId="2279" builtinId="9" hidden="1"/>
    <cellStyle name="Followed Hyperlink" xfId="2280" builtinId="9" hidden="1"/>
    <cellStyle name="Followed Hyperlink" xfId="2281" builtinId="9" hidden="1"/>
    <cellStyle name="Followed Hyperlink" xfId="2282" builtinId="9" hidden="1"/>
    <cellStyle name="Followed Hyperlink" xfId="2283" builtinId="9" hidden="1"/>
    <cellStyle name="Followed Hyperlink" xfId="2284" builtinId="9" hidden="1"/>
    <cellStyle name="Followed Hyperlink" xfId="2285" builtinId="9" hidden="1"/>
    <cellStyle name="Followed Hyperlink" xfId="2286" builtinId="9" hidden="1"/>
    <cellStyle name="Followed Hyperlink" xfId="2287" builtinId="9" hidden="1"/>
    <cellStyle name="Followed Hyperlink" xfId="2288" builtinId="9" hidden="1"/>
    <cellStyle name="Followed Hyperlink" xfId="2289" builtinId="9" hidden="1"/>
    <cellStyle name="Followed Hyperlink" xfId="2290" builtinId="9" hidden="1"/>
    <cellStyle name="Followed Hyperlink" xfId="2291" builtinId="9" hidden="1"/>
    <cellStyle name="Followed Hyperlink" xfId="2292" builtinId="9" hidden="1"/>
    <cellStyle name="Followed Hyperlink" xfId="2293" builtinId="9" hidden="1"/>
    <cellStyle name="Followed Hyperlink" xfId="2294" builtinId="9" hidden="1"/>
    <cellStyle name="Followed Hyperlink" xfId="2295" builtinId="9" hidden="1"/>
    <cellStyle name="Followed Hyperlink" xfId="2296" builtinId="9" hidden="1"/>
    <cellStyle name="Followed Hyperlink" xfId="2297" builtinId="9" hidden="1"/>
    <cellStyle name="Followed Hyperlink" xfId="2298" builtinId="9" hidden="1"/>
    <cellStyle name="Followed Hyperlink" xfId="2299" builtinId="9" hidden="1"/>
    <cellStyle name="Followed Hyperlink" xfId="2300" builtinId="9" hidden="1"/>
    <cellStyle name="Followed Hyperlink" xfId="2301" builtinId="9" hidden="1"/>
    <cellStyle name="Followed Hyperlink" xfId="2302" builtinId="9" hidden="1"/>
    <cellStyle name="Followed Hyperlink" xfId="2303" builtinId="9" hidden="1"/>
    <cellStyle name="Followed Hyperlink" xfId="2304" builtinId="9" hidden="1"/>
    <cellStyle name="Followed Hyperlink" xfId="2305" builtinId="9" hidden="1"/>
    <cellStyle name="Followed Hyperlink" xfId="2306" builtinId="9" hidden="1"/>
    <cellStyle name="Followed Hyperlink" xfId="2307" builtinId="9" hidden="1"/>
    <cellStyle name="Followed Hyperlink" xfId="2308" builtinId="9" hidden="1"/>
    <cellStyle name="Followed Hyperlink" xfId="2309" builtinId="9" hidden="1"/>
    <cellStyle name="Followed Hyperlink" xfId="2310" builtinId="9" hidden="1"/>
    <cellStyle name="Followed Hyperlink" xfId="2311" builtinId="9" hidden="1"/>
    <cellStyle name="Followed Hyperlink" xfId="2312" builtinId="9" hidden="1"/>
    <cellStyle name="Followed Hyperlink" xfId="2313" builtinId="9" hidden="1"/>
    <cellStyle name="Followed Hyperlink" xfId="2314" builtinId="9" hidden="1"/>
    <cellStyle name="Followed Hyperlink" xfId="2315" builtinId="9" hidden="1"/>
    <cellStyle name="Followed Hyperlink" xfId="2316" builtinId="9" hidden="1"/>
    <cellStyle name="Followed Hyperlink" xfId="2317" builtinId="9" hidden="1"/>
    <cellStyle name="Followed Hyperlink" xfId="2318" builtinId="9" hidden="1"/>
    <cellStyle name="Followed Hyperlink" xfId="2319" builtinId="9" hidden="1"/>
    <cellStyle name="Followed Hyperlink" xfId="2320" builtinId="9" hidden="1"/>
    <cellStyle name="Followed Hyperlink" xfId="2321" builtinId="9" hidden="1"/>
    <cellStyle name="Followed Hyperlink" xfId="2322" builtinId="9" hidden="1"/>
    <cellStyle name="Followed Hyperlink" xfId="2323" builtinId="9" hidden="1"/>
    <cellStyle name="Followed Hyperlink" xfId="2324" builtinId="9" hidden="1"/>
    <cellStyle name="Followed Hyperlink" xfId="2325" builtinId="9" hidden="1"/>
    <cellStyle name="Followed Hyperlink" xfId="2326" builtinId="9" hidden="1"/>
    <cellStyle name="Followed Hyperlink" xfId="2327" builtinId="9" hidden="1"/>
    <cellStyle name="Followed Hyperlink" xfId="2328" builtinId="9" hidden="1"/>
    <cellStyle name="Followed Hyperlink" xfId="2329" builtinId="9" hidden="1"/>
    <cellStyle name="Followed Hyperlink" xfId="2330" builtinId="9" hidden="1"/>
    <cellStyle name="Followed Hyperlink" xfId="2331" builtinId="9" hidden="1"/>
    <cellStyle name="Followed Hyperlink" xfId="2332" builtinId="9" hidden="1"/>
    <cellStyle name="Followed Hyperlink" xfId="2333" builtinId="9" hidden="1"/>
    <cellStyle name="Followed Hyperlink" xfId="2334" builtinId="9" hidden="1"/>
    <cellStyle name="Followed Hyperlink" xfId="2335" builtinId="9" hidden="1"/>
    <cellStyle name="Followed Hyperlink" xfId="2336" builtinId="9" hidden="1"/>
    <cellStyle name="Followed Hyperlink" xfId="2337" builtinId="9" hidden="1"/>
    <cellStyle name="Followed Hyperlink" xfId="2338" builtinId="9" hidden="1"/>
    <cellStyle name="Followed Hyperlink" xfId="2339" builtinId="9" hidden="1"/>
    <cellStyle name="Followed Hyperlink" xfId="2340" builtinId="9" hidden="1"/>
    <cellStyle name="Followed Hyperlink" xfId="2341" builtinId="9" hidden="1"/>
    <cellStyle name="Followed Hyperlink" xfId="2342" builtinId="9" hidden="1"/>
    <cellStyle name="Followed Hyperlink" xfId="2343" builtinId="9" hidden="1"/>
    <cellStyle name="Followed Hyperlink" xfId="2344" builtinId="9" hidden="1"/>
    <cellStyle name="Followed Hyperlink" xfId="2345" builtinId="9" hidden="1"/>
    <cellStyle name="Followed Hyperlink" xfId="2346" builtinId="9" hidden="1"/>
    <cellStyle name="Followed Hyperlink" xfId="2347" builtinId="9" hidden="1"/>
    <cellStyle name="Followed Hyperlink" xfId="2348" builtinId="9" hidden="1"/>
    <cellStyle name="Followed Hyperlink" xfId="2349" builtinId="9" hidden="1"/>
    <cellStyle name="Followed Hyperlink" xfId="2350" builtinId="9" hidden="1"/>
    <cellStyle name="Followed Hyperlink" xfId="2351" builtinId="9" hidden="1"/>
    <cellStyle name="Followed Hyperlink" xfId="2352" builtinId="9" hidden="1"/>
    <cellStyle name="Followed Hyperlink" xfId="2353" builtinId="9" hidden="1"/>
    <cellStyle name="Followed Hyperlink" xfId="2354" builtinId="9" hidden="1"/>
    <cellStyle name="Followed Hyperlink" xfId="2355" builtinId="9" hidden="1"/>
    <cellStyle name="Followed Hyperlink" xfId="2356" builtinId="9" hidden="1"/>
    <cellStyle name="Followed Hyperlink" xfId="2357" builtinId="9" hidden="1"/>
    <cellStyle name="Followed Hyperlink" xfId="2358" builtinId="9" hidden="1"/>
    <cellStyle name="Followed Hyperlink" xfId="2359" builtinId="9" hidden="1"/>
    <cellStyle name="Followed Hyperlink" xfId="2360" builtinId="9" hidden="1"/>
    <cellStyle name="Followed Hyperlink" xfId="2361" builtinId="9" hidden="1"/>
    <cellStyle name="Followed Hyperlink" xfId="2362" builtinId="9" hidden="1"/>
    <cellStyle name="Followed Hyperlink" xfId="2363" builtinId="9" hidden="1"/>
    <cellStyle name="Followed Hyperlink" xfId="2364" builtinId="9" hidden="1"/>
    <cellStyle name="Followed Hyperlink" xfId="2365" builtinId="9" hidden="1"/>
    <cellStyle name="Followed Hyperlink" xfId="2366" builtinId="9" hidden="1"/>
    <cellStyle name="Followed Hyperlink" xfId="2367" builtinId="9" hidden="1"/>
    <cellStyle name="Followed Hyperlink" xfId="2368" builtinId="9" hidden="1"/>
    <cellStyle name="Followed Hyperlink" xfId="2369" builtinId="9" hidden="1"/>
    <cellStyle name="Followed Hyperlink" xfId="2370" builtinId="9" hidden="1"/>
    <cellStyle name="Followed Hyperlink" xfId="2371" builtinId="9" hidden="1"/>
    <cellStyle name="Followed Hyperlink" xfId="2372" builtinId="9" hidden="1"/>
    <cellStyle name="Followed Hyperlink" xfId="2373" builtinId="9" hidden="1"/>
    <cellStyle name="Followed Hyperlink" xfId="2374" builtinId="9" hidden="1"/>
    <cellStyle name="Followed Hyperlink" xfId="2375" builtinId="9" hidden="1"/>
    <cellStyle name="Followed Hyperlink" xfId="2376" builtinId="9" hidden="1"/>
    <cellStyle name="Followed Hyperlink" xfId="2377" builtinId="9" hidden="1"/>
    <cellStyle name="Followed Hyperlink" xfId="2378" builtinId="9" hidden="1"/>
    <cellStyle name="Followed Hyperlink" xfId="2379" builtinId="9" hidden="1"/>
    <cellStyle name="Followed Hyperlink" xfId="2380" builtinId="9" hidden="1"/>
    <cellStyle name="Followed Hyperlink" xfId="2381" builtinId="9" hidden="1"/>
    <cellStyle name="Followed Hyperlink" xfId="2382" builtinId="9" hidden="1"/>
    <cellStyle name="Followed Hyperlink" xfId="2383" builtinId="9" hidden="1"/>
    <cellStyle name="Followed Hyperlink" xfId="2384" builtinId="9" hidden="1"/>
    <cellStyle name="Followed Hyperlink" xfId="2385" builtinId="9" hidden="1"/>
    <cellStyle name="Followed Hyperlink" xfId="2386" builtinId="9" hidden="1"/>
    <cellStyle name="Followed Hyperlink" xfId="2387" builtinId="9" hidden="1"/>
    <cellStyle name="Followed Hyperlink" xfId="2388" builtinId="9" hidden="1"/>
    <cellStyle name="Followed Hyperlink" xfId="2389" builtinId="9" hidden="1"/>
    <cellStyle name="Followed Hyperlink" xfId="2390" builtinId="9" hidden="1"/>
    <cellStyle name="Followed Hyperlink" xfId="2391" builtinId="9" hidden="1"/>
    <cellStyle name="Followed Hyperlink" xfId="2392" builtinId="9" hidden="1"/>
    <cellStyle name="Followed Hyperlink" xfId="2393" builtinId="9" hidden="1"/>
    <cellStyle name="Followed Hyperlink" xfId="2394" builtinId="9" hidden="1"/>
    <cellStyle name="Followed Hyperlink" xfId="2395" builtinId="9" hidden="1"/>
    <cellStyle name="Followed Hyperlink" xfId="2396" builtinId="9" hidden="1"/>
    <cellStyle name="Followed Hyperlink" xfId="2397" builtinId="9" hidden="1"/>
    <cellStyle name="Followed Hyperlink" xfId="2398" builtinId="9" hidden="1"/>
    <cellStyle name="Followed Hyperlink" xfId="2399" builtinId="9" hidden="1"/>
    <cellStyle name="Followed Hyperlink" xfId="2400" builtinId="9" hidden="1"/>
    <cellStyle name="Followed Hyperlink" xfId="2401" builtinId="9" hidden="1"/>
    <cellStyle name="Followed Hyperlink" xfId="2402" builtinId="9" hidden="1"/>
    <cellStyle name="Followed Hyperlink" xfId="2403" builtinId="9" hidden="1"/>
    <cellStyle name="Followed Hyperlink" xfId="2404" builtinId="9" hidden="1"/>
    <cellStyle name="Followed Hyperlink" xfId="2405" builtinId="9" hidden="1"/>
    <cellStyle name="Followed Hyperlink" xfId="2406" builtinId="9" hidden="1"/>
    <cellStyle name="Followed Hyperlink" xfId="2407" builtinId="9" hidden="1"/>
    <cellStyle name="Followed Hyperlink" xfId="2408" builtinId="9" hidden="1"/>
    <cellStyle name="Followed Hyperlink" xfId="2409" builtinId="9" hidden="1"/>
    <cellStyle name="Followed Hyperlink" xfId="2410" builtinId="9" hidden="1"/>
    <cellStyle name="Followed Hyperlink" xfId="2411" builtinId="9" hidden="1"/>
    <cellStyle name="Followed Hyperlink" xfId="2412" builtinId="9" hidden="1"/>
    <cellStyle name="Followed Hyperlink" xfId="2413" builtinId="9" hidden="1"/>
    <cellStyle name="Followed Hyperlink" xfId="2414" builtinId="9" hidden="1"/>
    <cellStyle name="Followed Hyperlink" xfId="2415" builtinId="9" hidden="1"/>
    <cellStyle name="Followed Hyperlink" xfId="2416" builtinId="9" hidden="1"/>
    <cellStyle name="Followed Hyperlink" xfId="2417" builtinId="9" hidden="1"/>
    <cellStyle name="Followed Hyperlink" xfId="2418" builtinId="9" hidden="1"/>
    <cellStyle name="Followed Hyperlink" xfId="2419" builtinId="9" hidden="1"/>
    <cellStyle name="Followed Hyperlink" xfId="2420" builtinId="9" hidden="1"/>
    <cellStyle name="Followed Hyperlink" xfId="2421" builtinId="9" hidden="1"/>
    <cellStyle name="Followed Hyperlink" xfId="2422" builtinId="9" hidden="1"/>
    <cellStyle name="Followed Hyperlink" xfId="2423" builtinId="9" hidden="1"/>
    <cellStyle name="Followed Hyperlink" xfId="2424" builtinId="9" hidden="1"/>
    <cellStyle name="Followed Hyperlink" xfId="2425" builtinId="9" hidden="1"/>
    <cellStyle name="Followed Hyperlink" xfId="2426" builtinId="9" hidden="1"/>
    <cellStyle name="Followed Hyperlink" xfId="2427" builtinId="9" hidden="1"/>
    <cellStyle name="Followed Hyperlink" xfId="2428" builtinId="9" hidden="1"/>
    <cellStyle name="Followed Hyperlink" xfId="2429" builtinId="9" hidden="1"/>
    <cellStyle name="Followed Hyperlink" xfId="2430" builtinId="9" hidden="1"/>
    <cellStyle name="Followed Hyperlink" xfId="2431" builtinId="9" hidden="1"/>
    <cellStyle name="Followed Hyperlink" xfId="2432" builtinId="9" hidden="1"/>
    <cellStyle name="Followed Hyperlink" xfId="2433" builtinId="9" hidden="1"/>
    <cellStyle name="Followed Hyperlink" xfId="2434" builtinId="9" hidden="1"/>
    <cellStyle name="Followed Hyperlink" xfId="2435" builtinId="9" hidden="1"/>
    <cellStyle name="Followed Hyperlink" xfId="2436" builtinId="9" hidden="1"/>
    <cellStyle name="Followed Hyperlink" xfId="2437" builtinId="9" hidden="1"/>
    <cellStyle name="Followed Hyperlink" xfId="2438" builtinId="9" hidden="1"/>
    <cellStyle name="Followed Hyperlink" xfId="2439" builtinId="9" hidden="1"/>
    <cellStyle name="Followed Hyperlink" xfId="2440" builtinId="9" hidden="1"/>
    <cellStyle name="Followed Hyperlink" xfId="2441" builtinId="9" hidden="1"/>
    <cellStyle name="Followed Hyperlink" xfId="2442" builtinId="9" hidden="1"/>
    <cellStyle name="Followed Hyperlink" xfId="2443" builtinId="9" hidden="1"/>
    <cellStyle name="Followed Hyperlink" xfId="2444" builtinId="9" hidden="1"/>
    <cellStyle name="Followed Hyperlink" xfId="2445" builtinId="9" hidden="1"/>
    <cellStyle name="Followed Hyperlink" xfId="2446" builtinId="9" hidden="1"/>
    <cellStyle name="Followed Hyperlink" xfId="2447" builtinId="9" hidden="1"/>
    <cellStyle name="Followed Hyperlink" xfId="2448" builtinId="9" hidden="1"/>
    <cellStyle name="Followed Hyperlink" xfId="2449" builtinId="9" hidden="1"/>
    <cellStyle name="Followed Hyperlink" xfId="2450" builtinId="9" hidden="1"/>
    <cellStyle name="Followed Hyperlink" xfId="2451" builtinId="9" hidden="1"/>
    <cellStyle name="Followed Hyperlink" xfId="2452" builtinId="9" hidden="1"/>
    <cellStyle name="Followed Hyperlink" xfId="2453" builtinId="9" hidden="1"/>
    <cellStyle name="Followed Hyperlink" xfId="2454" builtinId="9" hidden="1"/>
    <cellStyle name="Followed Hyperlink" xfId="2455" builtinId="9" hidden="1"/>
    <cellStyle name="Followed Hyperlink" xfId="2456" builtinId="9" hidden="1"/>
    <cellStyle name="Followed Hyperlink" xfId="2457" builtinId="9" hidden="1"/>
    <cellStyle name="Followed Hyperlink" xfId="2458" builtinId="9" hidden="1"/>
    <cellStyle name="Followed Hyperlink" xfId="2459" builtinId="9" hidden="1"/>
    <cellStyle name="Followed Hyperlink" xfId="2460" builtinId="9" hidden="1"/>
    <cellStyle name="Followed Hyperlink" xfId="2461" builtinId="9" hidden="1"/>
    <cellStyle name="Followed Hyperlink" xfId="2462" builtinId="9" hidden="1"/>
    <cellStyle name="Followed Hyperlink" xfId="2463" builtinId="9" hidden="1"/>
    <cellStyle name="Followed Hyperlink" xfId="2464" builtinId="9" hidden="1"/>
    <cellStyle name="Followed Hyperlink" xfId="2465" builtinId="9" hidden="1"/>
    <cellStyle name="Followed Hyperlink" xfId="2466" builtinId="9" hidden="1"/>
    <cellStyle name="Followed Hyperlink" xfId="2467" builtinId="9" hidden="1"/>
    <cellStyle name="Followed Hyperlink" xfId="2468" builtinId="9" hidden="1"/>
    <cellStyle name="Followed Hyperlink" xfId="2469" builtinId="9" hidden="1"/>
    <cellStyle name="Followed Hyperlink" xfId="2470" builtinId="9" hidden="1"/>
    <cellStyle name="Followed Hyperlink" xfId="2471" builtinId="9" hidden="1"/>
    <cellStyle name="Followed Hyperlink" xfId="2472" builtinId="9" hidden="1"/>
    <cellStyle name="Followed Hyperlink" xfId="2473" builtinId="9" hidden="1"/>
    <cellStyle name="Followed Hyperlink" xfId="2474" builtinId="9" hidden="1"/>
    <cellStyle name="Followed Hyperlink" xfId="2475" builtinId="9" hidden="1"/>
    <cellStyle name="Followed Hyperlink" xfId="2476" builtinId="9" hidden="1"/>
    <cellStyle name="Followed Hyperlink" xfId="2477" builtinId="9" hidden="1"/>
    <cellStyle name="Followed Hyperlink" xfId="2478" builtinId="9" hidden="1"/>
    <cellStyle name="Followed Hyperlink" xfId="2479" builtinId="9" hidden="1"/>
    <cellStyle name="Followed Hyperlink" xfId="2480" builtinId="9" hidden="1"/>
    <cellStyle name="Followed Hyperlink" xfId="2481" builtinId="9" hidden="1"/>
    <cellStyle name="Followed Hyperlink" xfId="2482" builtinId="9" hidden="1"/>
    <cellStyle name="Followed Hyperlink" xfId="2483" builtinId="9" hidden="1"/>
    <cellStyle name="Followed Hyperlink" xfId="2484" builtinId="9" hidden="1"/>
    <cellStyle name="Followed Hyperlink" xfId="2485" builtinId="9" hidden="1"/>
    <cellStyle name="Followed Hyperlink" xfId="2486" builtinId="9" hidden="1"/>
    <cellStyle name="Followed Hyperlink" xfId="2487" builtinId="9" hidden="1"/>
    <cellStyle name="Followed Hyperlink" xfId="2488" builtinId="9" hidden="1"/>
    <cellStyle name="Followed Hyperlink" xfId="2489" builtinId="9" hidden="1"/>
    <cellStyle name="Followed Hyperlink" xfId="2490" builtinId="9" hidden="1"/>
    <cellStyle name="Followed Hyperlink" xfId="2491" builtinId="9" hidden="1"/>
    <cellStyle name="Followed Hyperlink" xfId="2492" builtinId="9" hidden="1"/>
    <cellStyle name="Followed Hyperlink" xfId="2493" builtinId="9" hidden="1"/>
    <cellStyle name="Followed Hyperlink" xfId="2494" builtinId="9" hidden="1"/>
    <cellStyle name="Followed Hyperlink" xfId="2495" builtinId="9" hidden="1"/>
    <cellStyle name="Followed Hyperlink" xfId="2496" builtinId="9" hidden="1"/>
    <cellStyle name="Followed Hyperlink" xfId="2497" builtinId="9" hidden="1"/>
    <cellStyle name="Followed Hyperlink" xfId="2498" builtinId="9" hidden="1"/>
    <cellStyle name="Followed Hyperlink" xfId="2499" builtinId="9" hidden="1"/>
    <cellStyle name="Followed Hyperlink" xfId="2500" builtinId="9" hidden="1"/>
    <cellStyle name="Followed Hyperlink" xfId="2501" builtinId="9" hidden="1"/>
    <cellStyle name="Followed Hyperlink" xfId="2502" builtinId="9" hidden="1"/>
    <cellStyle name="Followed Hyperlink" xfId="2503" builtinId="9" hidden="1"/>
    <cellStyle name="Followed Hyperlink" xfId="2504" builtinId="9" hidden="1"/>
    <cellStyle name="Followed Hyperlink" xfId="2505" builtinId="9" hidden="1"/>
    <cellStyle name="Followed Hyperlink" xfId="2506" builtinId="9" hidden="1"/>
    <cellStyle name="Followed Hyperlink" xfId="2507" builtinId="9" hidden="1"/>
    <cellStyle name="Followed Hyperlink" xfId="2508" builtinId="9" hidden="1"/>
    <cellStyle name="Followed Hyperlink" xfId="2509" builtinId="9" hidden="1"/>
    <cellStyle name="Followed Hyperlink" xfId="2510" builtinId="9" hidden="1"/>
    <cellStyle name="Followed Hyperlink" xfId="2511" builtinId="9" hidden="1"/>
    <cellStyle name="Followed Hyperlink" xfId="2512" builtinId="9" hidden="1"/>
    <cellStyle name="Followed Hyperlink" xfId="2513" builtinId="9" hidden="1"/>
    <cellStyle name="Followed Hyperlink" xfId="2514" builtinId="9" hidden="1"/>
    <cellStyle name="Followed Hyperlink" xfId="2515" builtinId="9" hidden="1"/>
    <cellStyle name="Followed Hyperlink" xfId="2516" builtinId="9" hidden="1"/>
    <cellStyle name="Followed Hyperlink" xfId="2517" builtinId="9" hidden="1"/>
    <cellStyle name="Followed Hyperlink" xfId="2518" builtinId="9" hidden="1"/>
    <cellStyle name="Followed Hyperlink" xfId="2519" builtinId="9" hidden="1"/>
    <cellStyle name="Followed Hyperlink" xfId="2520" builtinId="9" hidden="1"/>
    <cellStyle name="Followed Hyperlink" xfId="2521" builtinId="9" hidden="1"/>
    <cellStyle name="Followed Hyperlink" xfId="2522" builtinId="9" hidden="1"/>
    <cellStyle name="Followed Hyperlink" xfId="2523" builtinId="9" hidden="1"/>
    <cellStyle name="Followed Hyperlink" xfId="2524" builtinId="9" hidden="1"/>
    <cellStyle name="Followed Hyperlink" xfId="2525" builtinId="9" hidden="1"/>
    <cellStyle name="Followed Hyperlink" xfId="2526" builtinId="9" hidden="1"/>
    <cellStyle name="Followed Hyperlink" xfId="2527" builtinId="9" hidden="1"/>
    <cellStyle name="Followed Hyperlink" xfId="2528" builtinId="9" hidden="1"/>
    <cellStyle name="Followed Hyperlink" xfId="2529" builtinId="9" hidden="1"/>
    <cellStyle name="Followed Hyperlink" xfId="2530" builtinId="9" hidden="1"/>
    <cellStyle name="Followed Hyperlink" xfId="2531" builtinId="9" hidden="1"/>
    <cellStyle name="Followed Hyperlink" xfId="2532" builtinId="9" hidden="1"/>
    <cellStyle name="Followed Hyperlink" xfId="2533" builtinId="9" hidden="1"/>
    <cellStyle name="Followed Hyperlink" xfId="2534" builtinId="9" hidden="1"/>
    <cellStyle name="Followed Hyperlink" xfId="2535" builtinId="9" hidden="1"/>
    <cellStyle name="Followed Hyperlink" xfId="2536" builtinId="9" hidden="1"/>
    <cellStyle name="Followed Hyperlink" xfId="2537" builtinId="9" hidden="1"/>
    <cellStyle name="Followed Hyperlink" xfId="2538" builtinId="9" hidden="1"/>
    <cellStyle name="Followed Hyperlink" xfId="2539" builtinId="9" hidden="1"/>
    <cellStyle name="Followed Hyperlink" xfId="2540" builtinId="9" hidden="1"/>
    <cellStyle name="Followed Hyperlink" xfId="2541" builtinId="9" hidden="1"/>
    <cellStyle name="Followed Hyperlink" xfId="2542" builtinId="9" hidden="1"/>
    <cellStyle name="Followed Hyperlink" xfId="2543" builtinId="9" hidden="1"/>
    <cellStyle name="Followed Hyperlink" xfId="2544" builtinId="9" hidden="1"/>
    <cellStyle name="Followed Hyperlink" xfId="2545" builtinId="9" hidden="1"/>
    <cellStyle name="Followed Hyperlink" xfId="2546" builtinId="9" hidden="1"/>
    <cellStyle name="Followed Hyperlink" xfId="2547" builtinId="9" hidden="1"/>
    <cellStyle name="Followed Hyperlink" xfId="2548" builtinId="9" hidden="1"/>
    <cellStyle name="Followed Hyperlink" xfId="2549" builtinId="9" hidden="1"/>
    <cellStyle name="Followed Hyperlink" xfId="2550" builtinId="9" hidden="1"/>
    <cellStyle name="Followed Hyperlink" xfId="2551" builtinId="9" hidden="1"/>
    <cellStyle name="Followed Hyperlink" xfId="2552" builtinId="9" hidden="1"/>
    <cellStyle name="Followed Hyperlink" xfId="2553" builtinId="9" hidden="1"/>
    <cellStyle name="Followed Hyperlink" xfId="2554" builtinId="9" hidden="1"/>
    <cellStyle name="Followed Hyperlink" xfId="2555" builtinId="9" hidden="1"/>
    <cellStyle name="Followed Hyperlink" xfId="2556" builtinId="9" hidden="1"/>
    <cellStyle name="Followed Hyperlink" xfId="2557" builtinId="9" hidden="1"/>
    <cellStyle name="Followed Hyperlink" xfId="2558" builtinId="9" hidden="1"/>
    <cellStyle name="Followed Hyperlink" xfId="2559" builtinId="9" hidden="1"/>
    <cellStyle name="Followed Hyperlink" xfId="2560" builtinId="9" hidden="1"/>
    <cellStyle name="Followed Hyperlink" xfId="2561" builtinId="9" hidden="1"/>
    <cellStyle name="Followed Hyperlink" xfId="2562" builtinId="9" hidden="1"/>
    <cellStyle name="Followed Hyperlink" xfId="2563" builtinId="9" hidden="1"/>
    <cellStyle name="Followed Hyperlink" xfId="2564" builtinId="9" hidden="1"/>
    <cellStyle name="Followed Hyperlink" xfId="2565" builtinId="9" hidden="1"/>
    <cellStyle name="Followed Hyperlink" xfId="2566" builtinId="9" hidden="1"/>
    <cellStyle name="Followed Hyperlink" xfId="2567" builtinId="9" hidden="1"/>
    <cellStyle name="Followed Hyperlink" xfId="2568" builtinId="9" hidden="1"/>
    <cellStyle name="Followed Hyperlink" xfId="2569" builtinId="9" hidden="1"/>
    <cellStyle name="Followed Hyperlink" xfId="2570" builtinId="9" hidden="1"/>
    <cellStyle name="Followed Hyperlink" xfId="2571" builtinId="9" hidden="1"/>
    <cellStyle name="Followed Hyperlink" xfId="2572" builtinId="9" hidden="1"/>
    <cellStyle name="Followed Hyperlink" xfId="2573" builtinId="9" hidden="1"/>
    <cellStyle name="Followed Hyperlink" xfId="2574" builtinId="9" hidden="1"/>
    <cellStyle name="Followed Hyperlink" xfId="2575" builtinId="9" hidden="1"/>
    <cellStyle name="Followed Hyperlink" xfId="2576" builtinId="9" hidden="1"/>
    <cellStyle name="Followed Hyperlink" xfId="2577" builtinId="9" hidden="1"/>
    <cellStyle name="Followed Hyperlink" xfId="2578" builtinId="9" hidden="1"/>
    <cellStyle name="Followed Hyperlink" xfId="2579" builtinId="9" hidden="1"/>
    <cellStyle name="Followed Hyperlink" xfId="2580" builtinId="9" hidden="1"/>
    <cellStyle name="Followed Hyperlink" xfId="2581" builtinId="9" hidden="1"/>
    <cellStyle name="Followed Hyperlink" xfId="2582" builtinId="9" hidden="1"/>
    <cellStyle name="Followed Hyperlink" xfId="2583" builtinId="9" hidden="1"/>
    <cellStyle name="Followed Hyperlink" xfId="2584" builtinId="9" hidden="1"/>
    <cellStyle name="Followed Hyperlink" xfId="2585" builtinId="9" hidden="1"/>
    <cellStyle name="Followed Hyperlink" xfId="2586" builtinId="9" hidden="1"/>
    <cellStyle name="Followed Hyperlink" xfId="2587" builtinId="9" hidden="1"/>
    <cellStyle name="Followed Hyperlink" xfId="2588" builtinId="9" hidden="1"/>
    <cellStyle name="Followed Hyperlink" xfId="2589" builtinId="9" hidden="1"/>
    <cellStyle name="Followed Hyperlink" xfId="2590" builtinId="9" hidden="1"/>
    <cellStyle name="Followed Hyperlink" xfId="2591" builtinId="9" hidden="1"/>
    <cellStyle name="Followed Hyperlink" xfId="2592" builtinId="9" hidden="1"/>
    <cellStyle name="Followed Hyperlink" xfId="2593" builtinId="9" hidden="1"/>
    <cellStyle name="Followed Hyperlink" xfId="2594" builtinId="9" hidden="1"/>
    <cellStyle name="Followed Hyperlink" xfId="2595" builtinId="9" hidden="1"/>
    <cellStyle name="Followed Hyperlink" xfId="2596" builtinId="9" hidden="1"/>
    <cellStyle name="Followed Hyperlink" xfId="2597" builtinId="9" hidden="1"/>
    <cellStyle name="Followed Hyperlink" xfId="2598" builtinId="9" hidden="1"/>
    <cellStyle name="Followed Hyperlink" xfId="2599" builtinId="9" hidden="1"/>
    <cellStyle name="Followed Hyperlink" xfId="2600" builtinId="9" hidden="1"/>
    <cellStyle name="Followed Hyperlink" xfId="2601" builtinId="9" hidden="1"/>
    <cellStyle name="Followed Hyperlink" xfId="2602" builtinId="9" hidden="1"/>
    <cellStyle name="Followed Hyperlink" xfId="2603" builtinId="9" hidden="1"/>
    <cellStyle name="Followed Hyperlink" xfId="2604" builtinId="9" hidden="1"/>
    <cellStyle name="Followed Hyperlink" xfId="2605" builtinId="9" hidden="1"/>
    <cellStyle name="Followed Hyperlink" xfId="2606" builtinId="9" hidden="1"/>
    <cellStyle name="Followed Hyperlink" xfId="2607" builtinId="9" hidden="1"/>
    <cellStyle name="Followed Hyperlink" xfId="2608" builtinId="9" hidden="1"/>
    <cellStyle name="Followed Hyperlink" xfId="2609" builtinId="9" hidden="1"/>
    <cellStyle name="Followed Hyperlink" xfId="2610" builtinId="9" hidden="1"/>
    <cellStyle name="Followed Hyperlink" xfId="2611" builtinId="9" hidden="1"/>
    <cellStyle name="Followed Hyperlink" xfId="2612" builtinId="9" hidden="1"/>
    <cellStyle name="Followed Hyperlink" xfId="2613" builtinId="9" hidden="1"/>
    <cellStyle name="Followed Hyperlink" xfId="2614" builtinId="9" hidden="1"/>
    <cellStyle name="Followed Hyperlink" xfId="2615" builtinId="9" hidden="1"/>
    <cellStyle name="Followed Hyperlink" xfId="2616" builtinId="9" hidden="1"/>
    <cellStyle name="Followed Hyperlink" xfId="2617" builtinId="9" hidden="1"/>
    <cellStyle name="Followed Hyperlink" xfId="2618" builtinId="9" hidden="1"/>
    <cellStyle name="Followed Hyperlink" xfId="2619" builtinId="9" hidden="1"/>
    <cellStyle name="Followed Hyperlink" xfId="2620" builtinId="9" hidden="1"/>
    <cellStyle name="Followed Hyperlink" xfId="2621" builtinId="9" hidden="1"/>
    <cellStyle name="Followed Hyperlink" xfId="2622" builtinId="9" hidden="1"/>
    <cellStyle name="Followed Hyperlink" xfId="2623" builtinId="9" hidden="1"/>
    <cellStyle name="Followed Hyperlink" xfId="2624" builtinId="9" hidden="1"/>
    <cellStyle name="Followed Hyperlink" xfId="2625" builtinId="9" hidden="1"/>
    <cellStyle name="Followed Hyperlink" xfId="2626" builtinId="9" hidden="1"/>
    <cellStyle name="Followed Hyperlink" xfId="2627" builtinId="9" hidden="1"/>
    <cellStyle name="Followed Hyperlink" xfId="2628" builtinId="9" hidden="1"/>
    <cellStyle name="Followed Hyperlink" xfId="2629" builtinId="9" hidden="1"/>
    <cellStyle name="Followed Hyperlink" xfId="2630" builtinId="9" hidden="1"/>
    <cellStyle name="Followed Hyperlink" xfId="2631" builtinId="9" hidden="1"/>
    <cellStyle name="Followed Hyperlink" xfId="2632" builtinId="9" hidden="1"/>
    <cellStyle name="Followed Hyperlink" xfId="2633" builtinId="9" hidden="1"/>
    <cellStyle name="Followed Hyperlink" xfId="2634" builtinId="9" hidden="1"/>
    <cellStyle name="Followed Hyperlink" xfId="2635" builtinId="9" hidden="1"/>
    <cellStyle name="Followed Hyperlink" xfId="2636" builtinId="9" hidden="1"/>
    <cellStyle name="Followed Hyperlink" xfId="2637" builtinId="9" hidden="1"/>
    <cellStyle name="Followed Hyperlink" xfId="2638" builtinId="9" hidden="1"/>
    <cellStyle name="Followed Hyperlink" xfId="2639" builtinId="9" hidden="1"/>
    <cellStyle name="Followed Hyperlink" xfId="2640" builtinId="9" hidden="1"/>
    <cellStyle name="Followed Hyperlink" xfId="2641" builtinId="9" hidden="1"/>
    <cellStyle name="Followed Hyperlink" xfId="2642" builtinId="9" hidden="1"/>
    <cellStyle name="Followed Hyperlink" xfId="2643" builtinId="9" hidden="1"/>
    <cellStyle name="Followed Hyperlink" xfId="2644" builtinId="9" hidden="1"/>
    <cellStyle name="Followed Hyperlink" xfId="2645" builtinId="9" hidden="1"/>
    <cellStyle name="Followed Hyperlink" xfId="2646" builtinId="9" hidden="1"/>
    <cellStyle name="Followed Hyperlink" xfId="2647" builtinId="9" hidden="1"/>
    <cellStyle name="Followed Hyperlink" xfId="2648" builtinId="9" hidden="1"/>
    <cellStyle name="Followed Hyperlink" xfId="2649" builtinId="9" hidden="1"/>
    <cellStyle name="Followed Hyperlink" xfId="2650" builtinId="9" hidden="1"/>
    <cellStyle name="Followed Hyperlink" xfId="2651" builtinId="9" hidden="1"/>
    <cellStyle name="Followed Hyperlink" xfId="2652" builtinId="9" hidden="1"/>
    <cellStyle name="Followed Hyperlink" xfId="2653" builtinId="9" hidden="1"/>
    <cellStyle name="Followed Hyperlink" xfId="2654" builtinId="9" hidden="1"/>
    <cellStyle name="Followed Hyperlink" xfId="2655" builtinId="9" hidden="1"/>
    <cellStyle name="Followed Hyperlink" xfId="2656" builtinId="9" hidden="1"/>
    <cellStyle name="Followed Hyperlink" xfId="2657" builtinId="9" hidden="1"/>
    <cellStyle name="Followed Hyperlink" xfId="2658" builtinId="9" hidden="1"/>
    <cellStyle name="Followed Hyperlink" xfId="2659" builtinId="9" hidden="1"/>
    <cellStyle name="Followed Hyperlink" xfId="2660" builtinId="9" hidden="1"/>
    <cellStyle name="Followed Hyperlink" xfId="2661" builtinId="9" hidden="1"/>
    <cellStyle name="Followed Hyperlink" xfId="2662" builtinId="9" hidden="1"/>
    <cellStyle name="Followed Hyperlink" xfId="2663" builtinId="9" hidden="1"/>
    <cellStyle name="Followed Hyperlink" xfId="2664" builtinId="9" hidden="1"/>
    <cellStyle name="Followed Hyperlink" xfId="2665" builtinId="9" hidden="1"/>
    <cellStyle name="Followed Hyperlink" xfId="2666" builtinId="9" hidden="1"/>
    <cellStyle name="Followed Hyperlink" xfId="2667" builtinId="9" hidden="1"/>
    <cellStyle name="Followed Hyperlink" xfId="2668" builtinId="9" hidden="1"/>
    <cellStyle name="Followed Hyperlink" xfId="2669" builtinId="9" hidden="1"/>
    <cellStyle name="Followed Hyperlink" xfId="2670" builtinId="9" hidden="1"/>
    <cellStyle name="Followed Hyperlink" xfId="2671" builtinId="9" hidden="1"/>
    <cellStyle name="Followed Hyperlink" xfId="2672" builtinId="9" hidden="1"/>
    <cellStyle name="Followed Hyperlink" xfId="2673" builtinId="9" hidden="1"/>
    <cellStyle name="Followed Hyperlink" xfId="2674" builtinId="9" hidden="1"/>
    <cellStyle name="Followed Hyperlink" xfId="2675" builtinId="9" hidden="1"/>
    <cellStyle name="Followed Hyperlink" xfId="2676" builtinId="9" hidden="1"/>
    <cellStyle name="Followed Hyperlink" xfId="2677" builtinId="9" hidden="1"/>
    <cellStyle name="Followed Hyperlink" xfId="2678" builtinId="9" hidden="1"/>
    <cellStyle name="Followed Hyperlink" xfId="2679" builtinId="9" hidden="1"/>
    <cellStyle name="Followed Hyperlink" xfId="2680" builtinId="9" hidden="1"/>
    <cellStyle name="Followed Hyperlink" xfId="2681" builtinId="9" hidden="1"/>
    <cellStyle name="Followed Hyperlink" xfId="2682" builtinId="9" hidden="1"/>
    <cellStyle name="Followed Hyperlink" xfId="2683" builtinId="9" hidden="1"/>
    <cellStyle name="Followed Hyperlink" xfId="2684" builtinId="9" hidden="1"/>
    <cellStyle name="Followed Hyperlink" xfId="2685" builtinId="9" hidden="1"/>
    <cellStyle name="Followed Hyperlink" xfId="2686" builtinId="9" hidden="1"/>
    <cellStyle name="Followed Hyperlink" xfId="2687" builtinId="9" hidden="1"/>
    <cellStyle name="Followed Hyperlink" xfId="2688" builtinId="9" hidden="1"/>
    <cellStyle name="Followed Hyperlink" xfId="2689" builtinId="9" hidden="1"/>
    <cellStyle name="Followed Hyperlink" xfId="2690" builtinId="9" hidden="1"/>
    <cellStyle name="Followed Hyperlink" xfId="2691" builtinId="9" hidden="1"/>
    <cellStyle name="Followed Hyperlink" xfId="2692" builtinId="9" hidden="1"/>
    <cellStyle name="Followed Hyperlink" xfId="2693" builtinId="9" hidden="1"/>
    <cellStyle name="Followed Hyperlink" xfId="2694" builtinId="9" hidden="1"/>
    <cellStyle name="Followed Hyperlink" xfId="2695" builtinId="9" hidden="1"/>
    <cellStyle name="Followed Hyperlink" xfId="2696" builtinId="9" hidden="1"/>
    <cellStyle name="Followed Hyperlink" xfId="2697" builtinId="9" hidden="1"/>
    <cellStyle name="Followed Hyperlink" xfId="2698" builtinId="9" hidden="1"/>
    <cellStyle name="Followed Hyperlink" xfId="2699" builtinId="9" hidden="1"/>
    <cellStyle name="Followed Hyperlink" xfId="2700" builtinId="9" hidden="1"/>
    <cellStyle name="Followed Hyperlink" xfId="2701" builtinId="9" hidden="1"/>
    <cellStyle name="Followed Hyperlink" xfId="2702" builtinId="9" hidden="1"/>
    <cellStyle name="Followed Hyperlink" xfId="2703" builtinId="9" hidden="1"/>
    <cellStyle name="Followed Hyperlink" xfId="2704" builtinId="9" hidden="1"/>
    <cellStyle name="Followed Hyperlink" xfId="2705" builtinId="9" hidden="1"/>
    <cellStyle name="Followed Hyperlink" xfId="2706" builtinId="9" hidden="1"/>
    <cellStyle name="Followed Hyperlink" xfId="2707" builtinId="9" hidden="1"/>
    <cellStyle name="Followed Hyperlink" xfId="2708" builtinId="9" hidden="1"/>
    <cellStyle name="Followed Hyperlink" xfId="2709" builtinId="9" hidden="1"/>
    <cellStyle name="Followed Hyperlink" xfId="2710" builtinId="9" hidden="1"/>
    <cellStyle name="Followed Hyperlink" xfId="2711" builtinId="9" hidden="1"/>
    <cellStyle name="Followed Hyperlink" xfId="2712" builtinId="9" hidden="1"/>
    <cellStyle name="Followed Hyperlink" xfId="2713" builtinId="9" hidden="1"/>
    <cellStyle name="Followed Hyperlink" xfId="2714" builtinId="9" hidden="1"/>
    <cellStyle name="Followed Hyperlink" xfId="2715" builtinId="9" hidden="1"/>
    <cellStyle name="Followed Hyperlink" xfId="2716" builtinId="9" hidden="1"/>
    <cellStyle name="Followed Hyperlink" xfId="2717" builtinId="9" hidden="1"/>
    <cellStyle name="Followed Hyperlink" xfId="2718" builtinId="9" hidden="1"/>
    <cellStyle name="Followed Hyperlink" xfId="2719" builtinId="9" hidden="1"/>
    <cellStyle name="Followed Hyperlink" xfId="2720" builtinId="9" hidden="1"/>
    <cellStyle name="Followed Hyperlink" xfId="2721" builtinId="9" hidden="1"/>
    <cellStyle name="Followed Hyperlink" xfId="2722" builtinId="9" hidden="1"/>
    <cellStyle name="Followed Hyperlink" xfId="2723" builtinId="9" hidden="1"/>
    <cellStyle name="Followed Hyperlink" xfId="2724" builtinId="9" hidden="1"/>
    <cellStyle name="Followed Hyperlink" xfId="2725" builtinId="9" hidden="1"/>
    <cellStyle name="Followed Hyperlink" xfId="2726" builtinId="9" hidden="1"/>
    <cellStyle name="Followed Hyperlink" xfId="2727" builtinId="9" hidden="1"/>
    <cellStyle name="Followed Hyperlink" xfId="2728" builtinId="9" hidden="1"/>
    <cellStyle name="Followed Hyperlink" xfId="2729" builtinId="9" hidden="1"/>
    <cellStyle name="Followed Hyperlink" xfId="2730" builtinId="9" hidden="1"/>
    <cellStyle name="Followed Hyperlink" xfId="2731" builtinId="9" hidden="1"/>
    <cellStyle name="Followed Hyperlink" xfId="2732" builtinId="9" hidden="1"/>
    <cellStyle name="Followed Hyperlink" xfId="2733" builtinId="9" hidden="1"/>
    <cellStyle name="Followed Hyperlink" xfId="2734" builtinId="9" hidden="1"/>
    <cellStyle name="Followed Hyperlink" xfId="2735" builtinId="9" hidden="1"/>
    <cellStyle name="Followed Hyperlink" xfId="2736" builtinId="9" hidden="1"/>
    <cellStyle name="Followed Hyperlink" xfId="2737" builtinId="9" hidden="1"/>
    <cellStyle name="Followed Hyperlink" xfId="2738" builtinId="9" hidden="1"/>
    <cellStyle name="Followed Hyperlink" xfId="2739" builtinId="9" hidden="1"/>
    <cellStyle name="Followed Hyperlink" xfId="2740" builtinId="9" hidden="1"/>
    <cellStyle name="Followed Hyperlink" xfId="2741" builtinId="9" hidden="1"/>
    <cellStyle name="Followed Hyperlink" xfId="2742" builtinId="9" hidden="1"/>
    <cellStyle name="Followed Hyperlink" xfId="2743" builtinId="9" hidden="1"/>
    <cellStyle name="Followed Hyperlink" xfId="2744" builtinId="9" hidden="1"/>
    <cellStyle name="Followed Hyperlink" xfId="2745" builtinId="9" hidden="1"/>
    <cellStyle name="Followed Hyperlink" xfId="2746" builtinId="9" hidden="1"/>
    <cellStyle name="Followed Hyperlink" xfId="2747" builtinId="9" hidden="1"/>
    <cellStyle name="Followed Hyperlink" xfId="2748" builtinId="9" hidden="1"/>
    <cellStyle name="Followed Hyperlink" xfId="2749" builtinId="9" hidden="1"/>
    <cellStyle name="Followed Hyperlink" xfId="2750" builtinId="9" hidden="1"/>
    <cellStyle name="Followed Hyperlink" xfId="2751" builtinId="9" hidden="1"/>
    <cellStyle name="Followed Hyperlink" xfId="2752" builtinId="9" hidden="1"/>
    <cellStyle name="Followed Hyperlink" xfId="2753" builtinId="9" hidden="1"/>
    <cellStyle name="Followed Hyperlink" xfId="2754" builtinId="9" hidden="1"/>
    <cellStyle name="Followed Hyperlink" xfId="2755" builtinId="9" hidden="1"/>
    <cellStyle name="Followed Hyperlink" xfId="2756" builtinId="9" hidden="1"/>
    <cellStyle name="Followed Hyperlink" xfId="2757" builtinId="9" hidden="1"/>
    <cellStyle name="Followed Hyperlink" xfId="2758" builtinId="9" hidden="1"/>
    <cellStyle name="Followed Hyperlink" xfId="2759" builtinId="9" hidden="1"/>
    <cellStyle name="Followed Hyperlink" xfId="2760" builtinId="9" hidden="1"/>
    <cellStyle name="Followed Hyperlink" xfId="2761" builtinId="9" hidden="1"/>
    <cellStyle name="Followed Hyperlink" xfId="2762" builtinId="9" hidden="1"/>
    <cellStyle name="Followed Hyperlink" xfId="2763" builtinId="9" hidden="1"/>
    <cellStyle name="Followed Hyperlink" xfId="2764" builtinId="9" hidden="1"/>
    <cellStyle name="Followed Hyperlink" xfId="2765" builtinId="9" hidden="1"/>
    <cellStyle name="Followed Hyperlink" xfId="2766" builtinId="9" hidden="1"/>
    <cellStyle name="Followed Hyperlink" xfId="2767" builtinId="9" hidden="1"/>
    <cellStyle name="Followed Hyperlink" xfId="2768" builtinId="9" hidden="1"/>
    <cellStyle name="Followed Hyperlink" xfId="2769" builtinId="9" hidden="1"/>
    <cellStyle name="Followed Hyperlink" xfId="2770" builtinId="9" hidden="1"/>
    <cellStyle name="Followed Hyperlink" xfId="2771" builtinId="9" hidden="1"/>
    <cellStyle name="Followed Hyperlink" xfId="2772" builtinId="9" hidden="1"/>
    <cellStyle name="Followed Hyperlink" xfId="2773" builtinId="9" hidden="1"/>
    <cellStyle name="Followed Hyperlink" xfId="2774" builtinId="9" hidden="1"/>
    <cellStyle name="Followed Hyperlink" xfId="2775" builtinId="9" hidden="1"/>
    <cellStyle name="Followed Hyperlink" xfId="2776" builtinId="9" hidden="1"/>
    <cellStyle name="Followed Hyperlink" xfId="2777" builtinId="9" hidden="1"/>
    <cellStyle name="Followed Hyperlink" xfId="2778" builtinId="9" hidden="1"/>
    <cellStyle name="Followed Hyperlink" xfId="2779" builtinId="9" hidden="1"/>
    <cellStyle name="Followed Hyperlink" xfId="2780" builtinId="9" hidden="1"/>
    <cellStyle name="Followed Hyperlink" xfId="2781" builtinId="9" hidden="1"/>
    <cellStyle name="Followed Hyperlink" xfId="2782" builtinId="9" hidden="1"/>
    <cellStyle name="Followed Hyperlink" xfId="2783" builtinId="9" hidden="1"/>
    <cellStyle name="Followed Hyperlink" xfId="2784" builtinId="9" hidden="1"/>
    <cellStyle name="Followed Hyperlink" xfId="2785" builtinId="9" hidden="1"/>
    <cellStyle name="Followed Hyperlink" xfId="2786" builtinId="9" hidden="1"/>
    <cellStyle name="Followed Hyperlink" xfId="2787" builtinId="9" hidden="1"/>
    <cellStyle name="Followed Hyperlink" xfId="2788" builtinId="9" hidden="1"/>
    <cellStyle name="Followed Hyperlink" xfId="2789" builtinId="9" hidden="1"/>
    <cellStyle name="Followed Hyperlink" xfId="2790" builtinId="9" hidden="1"/>
    <cellStyle name="Followed Hyperlink" xfId="2791" builtinId="9" hidden="1"/>
    <cellStyle name="Followed Hyperlink" xfId="2792" builtinId="9" hidden="1"/>
    <cellStyle name="Followed Hyperlink" xfId="2793" builtinId="9" hidden="1"/>
    <cellStyle name="Followed Hyperlink" xfId="2794" builtinId="9" hidden="1"/>
    <cellStyle name="Followed Hyperlink" xfId="2795" builtinId="9" hidden="1"/>
    <cellStyle name="Followed Hyperlink" xfId="2796" builtinId="9" hidden="1"/>
    <cellStyle name="Followed Hyperlink" xfId="2797" builtinId="9" hidden="1"/>
    <cellStyle name="Followed Hyperlink" xfId="2798" builtinId="9" hidden="1"/>
    <cellStyle name="Followed Hyperlink" xfId="2799" builtinId="9" hidden="1"/>
    <cellStyle name="Followed Hyperlink" xfId="2800" builtinId="9" hidden="1"/>
    <cellStyle name="Followed Hyperlink" xfId="2801" builtinId="9" hidden="1"/>
    <cellStyle name="Followed Hyperlink" xfId="2802" builtinId="9" hidden="1"/>
    <cellStyle name="Followed Hyperlink" xfId="2803" builtinId="9" hidden="1"/>
    <cellStyle name="Followed Hyperlink" xfId="2804" builtinId="9" hidden="1"/>
    <cellStyle name="Followed Hyperlink" xfId="2805" builtinId="9" hidden="1"/>
    <cellStyle name="Followed Hyperlink" xfId="2806" builtinId="9" hidden="1"/>
    <cellStyle name="Followed Hyperlink" xfId="2807" builtinId="9" hidden="1"/>
    <cellStyle name="Followed Hyperlink" xfId="2808" builtinId="9" hidden="1"/>
    <cellStyle name="Followed Hyperlink" xfId="2809" builtinId="9" hidden="1"/>
    <cellStyle name="Followed Hyperlink" xfId="2810" builtinId="9" hidden="1"/>
    <cellStyle name="Followed Hyperlink" xfId="2811" builtinId="9" hidden="1"/>
    <cellStyle name="Followed Hyperlink" xfId="2812" builtinId="9" hidden="1"/>
    <cellStyle name="Followed Hyperlink" xfId="2813" builtinId="9" hidden="1"/>
    <cellStyle name="Followed Hyperlink" xfId="2814" builtinId="9" hidden="1"/>
    <cellStyle name="Followed Hyperlink" xfId="2815" builtinId="9" hidden="1"/>
    <cellStyle name="Followed Hyperlink" xfId="2816" builtinId="9" hidden="1"/>
    <cellStyle name="Followed Hyperlink" xfId="2817" builtinId="9" hidden="1"/>
    <cellStyle name="Followed Hyperlink" xfId="2818" builtinId="9" hidden="1"/>
    <cellStyle name="Followed Hyperlink" xfId="2819" builtinId="9" hidden="1"/>
    <cellStyle name="Followed Hyperlink" xfId="2820" builtinId="9" hidden="1"/>
    <cellStyle name="Followed Hyperlink" xfId="2821" builtinId="9" hidden="1"/>
    <cellStyle name="Followed Hyperlink" xfId="2822" builtinId="9" hidden="1"/>
    <cellStyle name="Followed Hyperlink" xfId="2823" builtinId="9" hidden="1"/>
    <cellStyle name="Followed Hyperlink" xfId="2824" builtinId="9" hidden="1"/>
    <cellStyle name="Followed Hyperlink" xfId="2825" builtinId="9" hidden="1"/>
    <cellStyle name="Followed Hyperlink" xfId="2826" builtinId="9" hidden="1"/>
    <cellStyle name="Followed Hyperlink" xfId="2827" builtinId="9" hidden="1"/>
    <cellStyle name="Followed Hyperlink" xfId="2828" builtinId="9" hidden="1"/>
    <cellStyle name="Followed Hyperlink" xfId="2829" builtinId="9" hidden="1"/>
    <cellStyle name="Followed Hyperlink" xfId="2830" builtinId="9" hidden="1"/>
    <cellStyle name="Followed Hyperlink" xfId="2831" builtinId="9" hidden="1"/>
    <cellStyle name="Followed Hyperlink" xfId="2832" builtinId="9" hidden="1"/>
    <cellStyle name="Followed Hyperlink" xfId="2833" builtinId="9" hidden="1"/>
    <cellStyle name="Followed Hyperlink" xfId="2834" builtinId="9" hidden="1"/>
    <cellStyle name="Followed Hyperlink" xfId="2835" builtinId="9" hidden="1"/>
    <cellStyle name="Followed Hyperlink" xfId="2836" builtinId="9" hidden="1"/>
    <cellStyle name="Followed Hyperlink" xfId="2837" builtinId="9" hidden="1"/>
    <cellStyle name="Followed Hyperlink" xfId="2838" builtinId="9" hidden="1"/>
    <cellStyle name="Followed Hyperlink" xfId="2839" builtinId="9" hidden="1"/>
    <cellStyle name="Followed Hyperlink" xfId="2840" builtinId="9" hidden="1"/>
    <cellStyle name="Followed Hyperlink" xfId="2841" builtinId="9" hidden="1"/>
    <cellStyle name="Followed Hyperlink" xfId="2842" builtinId="9" hidden="1"/>
    <cellStyle name="Followed Hyperlink" xfId="2843" builtinId="9" hidden="1"/>
    <cellStyle name="Followed Hyperlink" xfId="2844" builtinId="9" hidden="1"/>
    <cellStyle name="Followed Hyperlink" xfId="2845" builtinId="9" hidden="1"/>
    <cellStyle name="Followed Hyperlink" xfId="2846" builtinId="9" hidden="1"/>
    <cellStyle name="Followed Hyperlink" xfId="2847" builtinId="9" hidden="1"/>
    <cellStyle name="Followed Hyperlink" xfId="2848" builtinId="9" hidden="1"/>
    <cellStyle name="Followed Hyperlink" xfId="2849" builtinId="9" hidden="1"/>
    <cellStyle name="Followed Hyperlink" xfId="2850" builtinId="9" hidden="1"/>
    <cellStyle name="Followed Hyperlink" xfId="2851" builtinId="9" hidden="1"/>
    <cellStyle name="Followed Hyperlink" xfId="2852" builtinId="9" hidden="1"/>
    <cellStyle name="Followed Hyperlink" xfId="2853" builtinId="9" hidden="1"/>
    <cellStyle name="Followed Hyperlink" xfId="2854" builtinId="9" hidden="1"/>
    <cellStyle name="Followed Hyperlink" xfId="2855" builtinId="9" hidden="1"/>
    <cellStyle name="Followed Hyperlink" xfId="2856" builtinId="9" hidden="1"/>
    <cellStyle name="Followed Hyperlink" xfId="2857" builtinId="9" hidden="1"/>
    <cellStyle name="Followed Hyperlink" xfId="2858" builtinId="9" hidden="1"/>
    <cellStyle name="Followed Hyperlink" xfId="2859" builtinId="9" hidden="1"/>
    <cellStyle name="Followed Hyperlink" xfId="2860" builtinId="9" hidden="1"/>
    <cellStyle name="Followed Hyperlink" xfId="2861" builtinId="9" hidden="1"/>
    <cellStyle name="Followed Hyperlink" xfId="2862" builtinId="9" hidden="1"/>
    <cellStyle name="Followed Hyperlink" xfId="2863" builtinId="9" hidden="1"/>
    <cellStyle name="Followed Hyperlink" xfId="2864" builtinId="9" hidden="1"/>
    <cellStyle name="Followed Hyperlink" xfId="2865" builtinId="9" hidden="1"/>
    <cellStyle name="Followed Hyperlink" xfId="2866" builtinId="9" hidden="1"/>
    <cellStyle name="Followed Hyperlink" xfId="2867" builtinId="9" hidden="1"/>
    <cellStyle name="Followed Hyperlink" xfId="2868" builtinId="9" hidden="1"/>
    <cellStyle name="Followed Hyperlink" xfId="2869" builtinId="9" hidden="1"/>
    <cellStyle name="Followed Hyperlink" xfId="2870" builtinId="9" hidden="1"/>
    <cellStyle name="Followed Hyperlink" xfId="2871" builtinId="9" hidden="1"/>
    <cellStyle name="Followed Hyperlink" xfId="2872" builtinId="9" hidden="1"/>
    <cellStyle name="Followed Hyperlink" xfId="2873" builtinId="9" hidden="1"/>
    <cellStyle name="Followed Hyperlink" xfId="2874" builtinId="9" hidden="1"/>
    <cellStyle name="Followed Hyperlink" xfId="2875" builtinId="9" hidden="1"/>
    <cellStyle name="Followed Hyperlink" xfId="2876" builtinId="9" hidden="1"/>
    <cellStyle name="Followed Hyperlink" xfId="2877" builtinId="9" hidden="1"/>
    <cellStyle name="Followed Hyperlink" xfId="2878" builtinId="9" hidden="1"/>
    <cellStyle name="Followed Hyperlink" xfId="2879" builtinId="9" hidden="1"/>
    <cellStyle name="Followed Hyperlink" xfId="2880" builtinId="9" hidden="1"/>
    <cellStyle name="Followed Hyperlink" xfId="2881" builtinId="9" hidden="1"/>
    <cellStyle name="Followed Hyperlink" xfId="2882" builtinId="9" hidden="1"/>
    <cellStyle name="Followed Hyperlink" xfId="2883" builtinId="9" hidden="1"/>
    <cellStyle name="Followed Hyperlink" xfId="2884" builtinId="9" hidden="1"/>
    <cellStyle name="Followed Hyperlink" xfId="2885" builtinId="9" hidden="1"/>
    <cellStyle name="Followed Hyperlink" xfId="2886" builtinId="9" hidden="1"/>
    <cellStyle name="Followed Hyperlink" xfId="2887" builtinId="9" hidden="1"/>
    <cellStyle name="Followed Hyperlink" xfId="2888" builtinId="9" hidden="1"/>
    <cellStyle name="Followed Hyperlink" xfId="2889" builtinId="9" hidden="1"/>
    <cellStyle name="Followed Hyperlink" xfId="2890" builtinId="9" hidden="1"/>
    <cellStyle name="Followed Hyperlink" xfId="2891" builtinId="9" hidden="1"/>
    <cellStyle name="Followed Hyperlink" xfId="2892" builtinId="9" hidden="1"/>
    <cellStyle name="Followed Hyperlink" xfId="2893" builtinId="9" hidden="1"/>
    <cellStyle name="Followed Hyperlink" xfId="2894" builtinId="9" hidden="1"/>
    <cellStyle name="Followed Hyperlink" xfId="2895" builtinId="9" hidden="1"/>
    <cellStyle name="Followed Hyperlink" xfId="2896" builtinId="9" hidden="1"/>
    <cellStyle name="Followed Hyperlink" xfId="2897" builtinId="9" hidden="1"/>
    <cellStyle name="Followed Hyperlink" xfId="2898" builtinId="9" hidden="1"/>
    <cellStyle name="Followed Hyperlink" xfId="2899" builtinId="9" hidden="1"/>
    <cellStyle name="Followed Hyperlink" xfId="2900" builtinId="9" hidden="1"/>
    <cellStyle name="Followed Hyperlink" xfId="2901" builtinId="9" hidden="1"/>
    <cellStyle name="Followed Hyperlink" xfId="2902" builtinId="9" hidden="1"/>
    <cellStyle name="Followed Hyperlink" xfId="2903" builtinId="9" hidden="1"/>
    <cellStyle name="Followed Hyperlink" xfId="2904" builtinId="9" hidden="1"/>
    <cellStyle name="Followed Hyperlink" xfId="2905" builtinId="9" hidden="1"/>
    <cellStyle name="Followed Hyperlink" xfId="2906" builtinId="9" hidden="1"/>
    <cellStyle name="Followed Hyperlink" xfId="2907" builtinId="9" hidden="1"/>
    <cellStyle name="Followed Hyperlink" xfId="2908" builtinId="9" hidden="1"/>
    <cellStyle name="Followed Hyperlink" xfId="2909" builtinId="9" hidden="1"/>
    <cellStyle name="Followed Hyperlink" xfId="2910" builtinId="9" hidden="1"/>
    <cellStyle name="Followed Hyperlink" xfId="2911" builtinId="9" hidden="1"/>
    <cellStyle name="Followed Hyperlink" xfId="2912" builtinId="9" hidden="1"/>
    <cellStyle name="Followed Hyperlink" xfId="2913" builtinId="9" hidden="1"/>
    <cellStyle name="Followed Hyperlink" xfId="2914" builtinId="9" hidden="1"/>
    <cellStyle name="Normal" xfId="0" builtinId="0"/>
    <cellStyle name="Percent" xfId="2915" builtinId="5"/>
  </cellStyles>
  <dxfs count="26">
    <dxf>
      <numFmt numFmtId="164" formatCode="_(* #,##0_);_(* \(#,##0\);_(* &quot;-&quot;??_);_(@_)"/>
      <alignment horizontal="center" vertical="bottom" textRotation="0" wrapText="0" indent="0" justifyLastLine="0" shrinkToFit="0" readingOrder="0"/>
    </dxf>
    <dxf>
      <numFmt numFmtId="164" formatCode="_(* #,##0_);_(* \(#,##0\);_(* &quot;-&quot;??_);_(@_)"/>
      <alignment horizontal="center" vertical="bottom" textRotation="0" wrapText="0" indent="0" justifyLastLine="0" shrinkToFit="0" readingOrder="0"/>
    </dxf>
    <dxf>
      <numFmt numFmtId="164" formatCode="_(* #,##0_);_(* \(#,##0\);_(* &quot;-&quot;??_);_(@_)"/>
      <alignment horizontal="center" vertical="bottom" textRotation="0" wrapText="0" indent="0" justifyLastLine="0" shrinkToFit="0" readingOrder="0"/>
    </dxf>
    <dxf>
      <numFmt numFmtId="164" formatCode="_(* #,##0_);_(* \(#,##0\);_(* &quot;-&quot;??_);_(@_)"/>
      <alignment horizontal="general" vertical="bottom" textRotation="0" wrapText="0" indent="0" justifyLastLine="0" shrinkToFit="0" readingOrder="0"/>
    </dxf>
    <dxf>
      <numFmt numFmtId="164" formatCode="_(* #,##0_);_(* \(#,##0\);_(* &quot;-&quot;??_);_(@_)"/>
      <alignment horizontal="center" vertical="bottom" textRotation="0" wrapText="0" indent="0" justifyLastLine="0" shrinkToFit="0" readingOrder="0"/>
    </dxf>
    <dxf>
      <numFmt numFmtId="164" formatCode="_(* #,##0_);_(* \(#,##0\);_(* &quot;-&quot;??_);_(@_)"/>
      <alignment horizontal="center" vertical="bottom" textRotation="0" wrapText="0" indent="0" justifyLastLine="0" shrinkToFit="0" readingOrder="0"/>
    </dxf>
    <dxf>
      <numFmt numFmtId="164" formatCode="_(* #,##0_);_(* \(#,##0\);_(* &quot;-&quot;??_);_(@_)"/>
      <alignment horizontal="center" vertical="bottom" textRotation="0" wrapText="0" indent="0" justifyLastLine="0" shrinkToFit="0" readingOrder="0"/>
    </dxf>
    <dxf>
      <numFmt numFmtId="164" formatCode="_(* #,##0_);_(* \(#,##0\);_(* &quot;-&quot;??_);_(@_)"/>
      <alignment horizontal="center" vertical="bottom" textRotation="0" wrapText="0" indent="0" justifyLastLine="0" shrinkToFit="0" readingOrder="0"/>
    </dxf>
    <dxf>
      <alignment horizontal="center" vertical="bottom" textRotation="0" wrapText="0" indent="0" justifyLastLine="0" shrinkToFit="0" readingOrder="0"/>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ont>
        <color rgb="FFFFFF00"/>
      </font>
    </dxf>
    <dxf>
      <fill>
        <patternFill>
          <bgColor theme="4" tint="0.39994506668294322"/>
        </patternFill>
      </fill>
    </dxf>
    <dxf>
      <fill>
        <patternFill>
          <bgColor rgb="FFFF9999"/>
        </patternFill>
      </fill>
    </dxf>
    <dxf>
      <fill>
        <patternFill>
          <bgColor theme="7" tint="0.59996337778862885"/>
        </patternFill>
      </fill>
    </dxf>
    <dxf>
      <font>
        <color rgb="FF9C0006"/>
      </font>
      <fill>
        <patternFill>
          <bgColor rgb="FFFFC7CE"/>
        </patternFill>
      </fill>
    </dxf>
    <dxf>
      <font>
        <color rgb="FF9C5700"/>
      </font>
      <fill>
        <patternFill>
          <bgColor rgb="FFFFEB9C"/>
        </patternFill>
      </fill>
    </dxf>
    <dxf>
      <fill>
        <patternFill>
          <bgColor theme="4" tint="0.39994506668294322"/>
        </patternFill>
      </fill>
    </dxf>
    <dxf>
      <font>
        <color rgb="FF9C0006"/>
      </font>
      <fill>
        <patternFill>
          <bgColor rgb="FFFFC7CE"/>
        </patternFill>
      </fill>
    </dxf>
    <dxf>
      <fill>
        <patternFill>
          <bgColor theme="4" tint="0.59996337778862885"/>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9" tint="-0.24994659260841701"/>
      </font>
      <fill>
        <patternFill>
          <bgColor theme="7" tint="0.79998168889431442"/>
        </patternFill>
      </fill>
    </dxf>
  </dxfs>
  <tableStyles count="0" defaultTableStyle="TableStyleMedium2" defaultPivotStyle="PivotStyleLight16"/>
  <colors>
    <mruColors>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gif"/><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1</xdr:col>
      <xdr:colOff>5339</xdr:colOff>
      <xdr:row>240</xdr:row>
      <xdr:rowOff>180975</xdr:rowOff>
    </xdr:from>
    <xdr:to>
      <xdr:col>2</xdr:col>
      <xdr:colOff>271708</xdr:colOff>
      <xdr:row>242</xdr:row>
      <xdr:rowOff>50619</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047486" y="19118916"/>
          <a:ext cx="271708" cy="250644"/>
        </a:xfrm>
        <a:prstGeom prst="rect">
          <a:avLst/>
        </a:prstGeom>
      </xdr:spPr>
    </xdr:pic>
    <xdr:clientData/>
  </xdr:twoCellAnchor>
  <xdr:twoCellAnchor editAs="oneCell">
    <xdr:from>
      <xdr:col>7</xdr:col>
      <xdr:colOff>470985</xdr:colOff>
      <xdr:row>249</xdr:row>
      <xdr:rowOff>105460</xdr:rowOff>
    </xdr:from>
    <xdr:to>
      <xdr:col>7</xdr:col>
      <xdr:colOff>796064</xdr:colOff>
      <xdr:row>250</xdr:row>
      <xdr:rowOff>236116</xdr:rowOff>
    </xdr:to>
    <xdr:pic>
      <xdr:nvPicPr>
        <xdr:cNvPr id="3" name="Picture 2" descr="http://maps.google.com/mapfiles/kml/shapes/airports.png">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31318" y="20996960"/>
          <a:ext cx="325079" cy="321156"/>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0</xdr:col>
      <xdr:colOff>788780</xdr:colOff>
      <xdr:row>237</xdr:row>
      <xdr:rowOff>158746</xdr:rowOff>
    </xdr:from>
    <xdr:to>
      <xdr:col>1</xdr:col>
      <xdr:colOff>0</xdr:colOff>
      <xdr:row>239</xdr:row>
      <xdr:rowOff>21586</xdr:rowOff>
    </xdr:to>
    <xdr:pic>
      <xdr:nvPicPr>
        <xdr:cNvPr id="4" name="Picture 3" descr="http://maps.google.com/mapfiles/kml/shapes/dollar.png">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8780" y="18525187"/>
          <a:ext cx="253365" cy="24384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xdr:col>
      <xdr:colOff>21514</xdr:colOff>
      <xdr:row>238</xdr:row>
      <xdr:rowOff>146231</xdr:rowOff>
    </xdr:from>
    <xdr:to>
      <xdr:col>2</xdr:col>
      <xdr:colOff>239358</xdr:colOff>
      <xdr:row>240</xdr:row>
      <xdr:rowOff>9071</xdr:rowOff>
    </xdr:to>
    <xdr:pic>
      <xdr:nvPicPr>
        <xdr:cNvPr id="6" name="Picture 5" descr="http://maps.google.com/mapfiles/kml/shapes/ranger_station.png">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63661" y="18703172"/>
          <a:ext cx="239358" cy="24384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0</xdr:col>
      <xdr:colOff>795659</xdr:colOff>
      <xdr:row>239</xdr:row>
      <xdr:rowOff>189440</xdr:rowOff>
    </xdr:from>
    <xdr:to>
      <xdr:col>0</xdr:col>
      <xdr:colOff>1035266</xdr:colOff>
      <xdr:row>241</xdr:row>
      <xdr:rowOff>52280</xdr:rowOff>
    </xdr:to>
    <xdr:pic>
      <xdr:nvPicPr>
        <xdr:cNvPr id="10" name="Picture 9" descr="http://maps.google.com/mapfiles/kml/shapes/shopping.png">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95659" y="18936881"/>
          <a:ext cx="239607" cy="24384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13</xdr:col>
      <xdr:colOff>624420</xdr:colOff>
      <xdr:row>10</xdr:row>
      <xdr:rowOff>50800</xdr:rowOff>
    </xdr:from>
    <xdr:to>
      <xdr:col>14</xdr:col>
      <xdr:colOff>166332</xdr:colOff>
      <xdr:row>10</xdr:row>
      <xdr:rowOff>375880</xdr:rowOff>
    </xdr:to>
    <xdr:pic>
      <xdr:nvPicPr>
        <xdr:cNvPr id="11" name="Picture 10" descr="http://maps.google.com/mapfiles/kml/shapes/sunny.png">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177870" y="488950"/>
          <a:ext cx="322962" cy="32508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19</xdr:col>
      <xdr:colOff>634995</xdr:colOff>
      <xdr:row>10</xdr:row>
      <xdr:rowOff>19455</xdr:rowOff>
    </xdr:from>
    <xdr:to>
      <xdr:col>20</xdr:col>
      <xdr:colOff>147738</xdr:colOff>
      <xdr:row>10</xdr:row>
      <xdr:rowOff>385215</xdr:rowOff>
    </xdr:to>
    <xdr:pic>
      <xdr:nvPicPr>
        <xdr:cNvPr id="12" name="Picture 11" descr="http://maps.google.com/mapfiles/kml/shapes/homegardenbusiness.png">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0750545" y="457605"/>
          <a:ext cx="360468" cy="36576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11</xdr:col>
      <xdr:colOff>438334</xdr:colOff>
      <xdr:row>249</xdr:row>
      <xdr:rowOff>183521</xdr:rowOff>
    </xdr:from>
    <xdr:to>
      <xdr:col>11</xdr:col>
      <xdr:colOff>691699</xdr:colOff>
      <xdr:row>250</xdr:row>
      <xdr:rowOff>236861</xdr:rowOff>
    </xdr:to>
    <xdr:pic>
      <xdr:nvPicPr>
        <xdr:cNvPr id="18" name="Picture 17" descr="http://maps.google.com/mapfiles/kml/shapes/dollar.png">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27667" y="21075021"/>
          <a:ext cx="253365" cy="24384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16</xdr:col>
      <xdr:colOff>468902</xdr:colOff>
      <xdr:row>249</xdr:row>
      <xdr:rowOff>182281</xdr:rowOff>
    </xdr:from>
    <xdr:to>
      <xdr:col>16</xdr:col>
      <xdr:colOff>712742</xdr:colOff>
      <xdr:row>250</xdr:row>
      <xdr:rowOff>235621</xdr:rowOff>
    </xdr:to>
    <xdr:pic>
      <xdr:nvPicPr>
        <xdr:cNvPr id="19" name="Picture 18" descr="http://maps.google.com/mapfiles/kml/shapes/ranger_station.png">
          <a:extLst>
            <a:ext uri="{FF2B5EF4-FFF2-40B4-BE49-F238E27FC236}">
              <a16:creationId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676652" y="21073781"/>
          <a:ext cx="243840" cy="24384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5</xdr:col>
      <xdr:colOff>381745</xdr:colOff>
      <xdr:row>250</xdr:row>
      <xdr:rowOff>14191</xdr:rowOff>
    </xdr:from>
    <xdr:to>
      <xdr:col>5</xdr:col>
      <xdr:colOff>625585</xdr:colOff>
      <xdr:row>250</xdr:row>
      <xdr:rowOff>259097</xdr:rowOff>
    </xdr:to>
    <xdr:pic>
      <xdr:nvPicPr>
        <xdr:cNvPr id="20" name="Picture 19" descr="http://maps.google.com/mapfiles/kml/shapes/shopping.png">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122828" y="21096191"/>
          <a:ext cx="243840" cy="244906"/>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14</xdr:col>
      <xdr:colOff>327460</xdr:colOff>
      <xdr:row>249</xdr:row>
      <xdr:rowOff>189253</xdr:rowOff>
    </xdr:from>
    <xdr:to>
      <xdr:col>14</xdr:col>
      <xdr:colOff>603650</xdr:colOff>
      <xdr:row>250</xdr:row>
      <xdr:rowOff>246372</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1"/>
        <a:stretch>
          <a:fillRect/>
        </a:stretch>
      </xdr:blipFill>
      <xdr:spPr>
        <a:xfrm>
          <a:off x="9926543" y="21080753"/>
          <a:ext cx="276190" cy="247619"/>
        </a:xfrm>
        <a:prstGeom prst="rect">
          <a:avLst/>
        </a:prstGeom>
      </xdr:spPr>
    </xdr:pic>
    <xdr:clientData/>
  </xdr:twoCellAnchor>
  <xdr:twoCellAnchor editAs="oneCell">
    <xdr:from>
      <xdr:col>14</xdr:col>
      <xdr:colOff>497413</xdr:colOff>
      <xdr:row>121</xdr:row>
      <xdr:rowOff>169334</xdr:rowOff>
    </xdr:from>
    <xdr:to>
      <xdr:col>14</xdr:col>
      <xdr:colOff>741253</xdr:colOff>
      <xdr:row>123</xdr:row>
      <xdr:rowOff>32174</xdr:rowOff>
    </xdr:to>
    <xdr:pic>
      <xdr:nvPicPr>
        <xdr:cNvPr id="22" name="Picture 21" descr="http://maps.google.com/mapfiles/kml/shapes/info.png">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218080" y="2624667"/>
          <a:ext cx="243840" cy="24384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16</xdr:col>
      <xdr:colOff>476253</xdr:colOff>
      <xdr:row>121</xdr:row>
      <xdr:rowOff>169334</xdr:rowOff>
    </xdr:from>
    <xdr:to>
      <xdr:col>16</xdr:col>
      <xdr:colOff>720093</xdr:colOff>
      <xdr:row>123</xdr:row>
      <xdr:rowOff>32174</xdr:rowOff>
    </xdr:to>
    <xdr:pic>
      <xdr:nvPicPr>
        <xdr:cNvPr id="23" name="Picture 22" descr="http://maps.google.com/mapfiles/kml/shapes/target.png">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0795003" y="2624667"/>
          <a:ext cx="243840" cy="243840"/>
        </a:xfrm>
        <a:prstGeom prst="rect">
          <a:avLst/>
        </a:prstGeom>
        <a:noFill/>
        <a:ln>
          <a:solidFill>
            <a:schemeClr val="lt1">
              <a:shade val="50000"/>
            </a:schemeClr>
          </a:solidFill>
        </a:ln>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19</xdr:col>
      <xdr:colOff>412746</xdr:colOff>
      <xdr:row>121</xdr:row>
      <xdr:rowOff>148168</xdr:rowOff>
    </xdr:from>
    <xdr:to>
      <xdr:col>19</xdr:col>
      <xdr:colOff>705354</xdr:colOff>
      <xdr:row>123</xdr:row>
      <xdr:rowOff>59776</xdr:rowOff>
    </xdr:to>
    <xdr:pic>
      <xdr:nvPicPr>
        <xdr:cNvPr id="24" name="Picture 23" descr="http://maps.google.com/mapfiles/kml/shapes/info_circle.png">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3080996" y="2603501"/>
          <a:ext cx="292608" cy="292608"/>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15</xdr:col>
      <xdr:colOff>592666</xdr:colOff>
      <xdr:row>10</xdr:row>
      <xdr:rowOff>27684</xdr:rowOff>
    </xdr:from>
    <xdr:to>
      <xdr:col>16</xdr:col>
      <xdr:colOff>127870</xdr:colOff>
      <xdr:row>10</xdr:row>
      <xdr:rowOff>412749</xdr:rowOff>
    </xdr:to>
    <xdr:pic>
      <xdr:nvPicPr>
        <xdr:cNvPr id="28" name="Picture 27" descr="http://www.clean-coalition.org/site/wp-content/uploads/2017/02/parking-icon.gif">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2298891" y="465834"/>
          <a:ext cx="363879" cy="38506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618067</xdr:colOff>
      <xdr:row>10</xdr:row>
      <xdr:rowOff>21334</xdr:rowOff>
    </xdr:from>
    <xdr:to>
      <xdr:col>18</xdr:col>
      <xdr:colOff>200897</xdr:colOff>
      <xdr:row>10</xdr:row>
      <xdr:rowOff>406399</xdr:rowOff>
    </xdr:to>
    <xdr:pic>
      <xdr:nvPicPr>
        <xdr:cNvPr id="31" name="Picture 30" descr="http://www.clean-coalition.org/site/wp-content/uploads/2017/02/parking-icon.gif">
          <a:extLst>
            <a:ext uri="{FF2B5EF4-FFF2-40B4-BE49-F238E27FC236}">
              <a16:creationId xmlns:a16="http://schemas.microsoft.com/office/drawing/2014/main" id="{00000000-0008-0000-0200-00001F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3286317" y="455251"/>
          <a:ext cx="365995" cy="38506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0</xdr:col>
      <xdr:colOff>1030940</xdr:colOff>
      <xdr:row>242</xdr:row>
      <xdr:rowOff>157445</xdr:rowOff>
    </xdr:from>
    <xdr:to>
      <xdr:col>2</xdr:col>
      <xdr:colOff>293593</xdr:colOff>
      <xdr:row>244</xdr:row>
      <xdr:rowOff>85328</xdr:rowOff>
    </xdr:to>
    <xdr:pic>
      <xdr:nvPicPr>
        <xdr:cNvPr id="33" name="Picture 32" descr="http://maps.google.com/mapfiles/kml/shapes/star.png">
          <a:extLst>
            <a:ext uri="{FF2B5EF4-FFF2-40B4-BE49-F238E27FC236}">
              <a16:creationId xmlns:a16="http://schemas.microsoft.com/office/drawing/2014/main" id="{5BDE2A96-68F5-4263-A89E-31DC1D80552E}"/>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030940" y="19476386"/>
          <a:ext cx="304800" cy="308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382868</xdr:colOff>
      <xdr:row>249</xdr:row>
      <xdr:rowOff>129117</xdr:rowOff>
    </xdr:from>
    <xdr:to>
      <xdr:col>9</xdr:col>
      <xdr:colOff>687668</xdr:colOff>
      <xdr:row>250</xdr:row>
      <xdr:rowOff>243417</xdr:rowOff>
    </xdr:to>
    <xdr:pic>
      <xdr:nvPicPr>
        <xdr:cNvPr id="34" name="Picture 33" descr="http://maps.google.com/mapfiles/kml/shapes/star.png">
          <a:extLst>
            <a:ext uri="{FF2B5EF4-FFF2-40B4-BE49-F238E27FC236}">
              <a16:creationId xmlns:a16="http://schemas.microsoft.com/office/drawing/2014/main" id="{6CEB838E-29D1-452D-BA4D-4784A1CE0B13}"/>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489451" y="21020617"/>
          <a:ext cx="3048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752923</xdr:colOff>
      <xdr:row>235</xdr:row>
      <xdr:rowOff>114301</xdr:rowOff>
    </xdr:from>
    <xdr:to>
      <xdr:col>2</xdr:col>
      <xdr:colOff>35855</xdr:colOff>
      <xdr:row>237</xdr:row>
      <xdr:rowOff>62462</xdr:rowOff>
    </xdr:to>
    <xdr:pic>
      <xdr:nvPicPr>
        <xdr:cNvPr id="35" name="Picture 34" descr="http://maps.google.com/mapfiles/kml/shapes/airports.png">
          <a:extLst>
            <a:ext uri="{FF2B5EF4-FFF2-40B4-BE49-F238E27FC236}">
              <a16:creationId xmlns:a16="http://schemas.microsoft.com/office/drawing/2014/main" id="{67C64786-7174-483B-9ADA-DA83C1A0BC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2923" y="18099742"/>
          <a:ext cx="325079" cy="329161"/>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21</xdr:col>
      <xdr:colOff>609600</xdr:colOff>
      <xdr:row>10</xdr:row>
      <xdr:rowOff>85725</xdr:rowOff>
    </xdr:from>
    <xdr:to>
      <xdr:col>22</xdr:col>
      <xdr:colOff>24765</xdr:colOff>
      <xdr:row>10</xdr:row>
      <xdr:rowOff>329565</xdr:rowOff>
    </xdr:to>
    <xdr:pic>
      <xdr:nvPicPr>
        <xdr:cNvPr id="27" name="Picture 26" descr="http://maps.google.com/mapfiles/kml/shapes/water.png">
          <a:extLst>
            <a:ext uri="{FF2B5EF4-FFF2-40B4-BE49-F238E27FC236}">
              <a16:creationId xmlns:a16="http://schemas.microsoft.com/office/drawing/2014/main" id="{C448FA41-AF47-4C53-9A02-076191A59CD1}"/>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6506825" y="523875"/>
          <a:ext cx="243840" cy="24384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23</xdr:col>
      <xdr:colOff>542926</xdr:colOff>
      <xdr:row>10</xdr:row>
      <xdr:rowOff>28575</xdr:rowOff>
    </xdr:from>
    <xdr:to>
      <xdr:col>24</xdr:col>
      <xdr:colOff>76200</xdr:colOff>
      <xdr:row>10</xdr:row>
      <xdr:rowOff>371476</xdr:rowOff>
    </xdr:to>
    <xdr:pic>
      <xdr:nvPicPr>
        <xdr:cNvPr id="8" name="Picture 7">
          <a:extLst>
            <a:ext uri="{FF2B5EF4-FFF2-40B4-BE49-F238E27FC236}">
              <a16:creationId xmlns:a16="http://schemas.microsoft.com/office/drawing/2014/main" id="{F16F6DC8-7BF5-428B-8437-6F89C78228CC}"/>
            </a:ext>
          </a:extLst>
        </xdr:cNvPr>
        <xdr:cNvPicPr>
          <a:picLocks noChangeAspect="1"/>
        </xdr:cNvPicPr>
      </xdr:nvPicPr>
      <xdr:blipFill>
        <a:blip xmlns:r="http://schemas.openxmlformats.org/officeDocument/2006/relationships" r:embed="rId14"/>
        <a:stretch>
          <a:fillRect/>
        </a:stretch>
      </xdr:blipFill>
      <xdr:spPr>
        <a:xfrm>
          <a:off x="17716501" y="466725"/>
          <a:ext cx="342900" cy="342901"/>
        </a:xfrm>
        <a:prstGeom prst="rect">
          <a:avLst/>
        </a:prstGeom>
      </xdr:spPr>
    </xdr:pic>
    <xdr:clientData/>
  </xdr:twoCellAnchor>
  <xdr:twoCellAnchor editAs="oneCell">
    <xdr:from>
      <xdr:col>1</xdr:col>
      <xdr:colOff>19273</xdr:colOff>
      <xdr:row>237</xdr:row>
      <xdr:rowOff>7</xdr:rowOff>
    </xdr:from>
    <xdr:to>
      <xdr:col>2</xdr:col>
      <xdr:colOff>243840</xdr:colOff>
      <xdr:row>238</xdr:row>
      <xdr:rowOff>44823</xdr:rowOff>
    </xdr:to>
    <xdr:pic>
      <xdr:nvPicPr>
        <xdr:cNvPr id="29" name="Picture 28" descr="http://maps.google.com/mapfiles/kml/shapes/flag.png">
          <a:extLst>
            <a:ext uri="{FF2B5EF4-FFF2-40B4-BE49-F238E27FC236}">
              <a16:creationId xmlns:a16="http://schemas.microsoft.com/office/drawing/2014/main" id="{8F9B7FA0-C0B6-4415-B175-6B9A6104AEA9}"/>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061420" y="18366448"/>
          <a:ext cx="243840" cy="235316"/>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oneCellAnchor>
    <xdr:from>
      <xdr:col>18</xdr:col>
      <xdr:colOff>303787</xdr:colOff>
      <xdr:row>250</xdr:row>
      <xdr:rowOff>1258</xdr:rowOff>
    </xdr:from>
    <xdr:ext cx="243840" cy="235316"/>
    <xdr:pic>
      <xdr:nvPicPr>
        <xdr:cNvPr id="32" name="Picture 31" descr="http://maps.google.com/mapfiles/kml/shapes/flag.png">
          <a:extLst>
            <a:ext uri="{FF2B5EF4-FFF2-40B4-BE49-F238E27FC236}">
              <a16:creationId xmlns:a16="http://schemas.microsoft.com/office/drawing/2014/main" id="{CFBCC376-EDBA-48DB-98D9-F51E4B373723}"/>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3215454" y="21083258"/>
          <a:ext cx="243840" cy="235316"/>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twoCellAnchor editAs="oneCell">
    <xdr:from>
      <xdr:col>20</xdr:col>
      <xdr:colOff>267077</xdr:colOff>
      <xdr:row>249</xdr:row>
      <xdr:rowOff>123887</xdr:rowOff>
    </xdr:from>
    <xdr:to>
      <xdr:col>20</xdr:col>
      <xdr:colOff>592156</xdr:colOff>
      <xdr:row>250</xdr:row>
      <xdr:rowOff>258466</xdr:rowOff>
    </xdr:to>
    <xdr:pic>
      <xdr:nvPicPr>
        <xdr:cNvPr id="36" name="Picture 35" descr="http://maps.google.com/mapfiles/kml/shapes/rail.png">
          <a:extLst>
            <a:ext uri="{FF2B5EF4-FFF2-40B4-BE49-F238E27FC236}">
              <a16:creationId xmlns:a16="http://schemas.microsoft.com/office/drawing/2014/main" id="{34E850EE-72BF-497F-B923-15FF99A713E9}"/>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4745077" y="21015387"/>
          <a:ext cx="325079" cy="325079"/>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0</xdr:col>
      <xdr:colOff>752923</xdr:colOff>
      <xdr:row>241</xdr:row>
      <xdr:rowOff>134470</xdr:rowOff>
    </xdr:from>
    <xdr:to>
      <xdr:col>2</xdr:col>
      <xdr:colOff>35855</xdr:colOff>
      <xdr:row>243</xdr:row>
      <xdr:rowOff>78549</xdr:rowOff>
    </xdr:to>
    <xdr:pic>
      <xdr:nvPicPr>
        <xdr:cNvPr id="37" name="Picture 36" descr="http://maps.google.com/mapfiles/kml/shapes/rail.png">
          <a:extLst>
            <a:ext uri="{FF2B5EF4-FFF2-40B4-BE49-F238E27FC236}">
              <a16:creationId xmlns:a16="http://schemas.microsoft.com/office/drawing/2014/main" id="{8CFA4C2C-D7BF-4C87-B2D4-3738775B9CD9}"/>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52923" y="19262911"/>
          <a:ext cx="325079" cy="325079"/>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obert O'Hagan" refreshedDate="43423.47689953704" createdVersion="6" refreshedVersion="6" minRefreshableVersion="3" recordCount="883" xr:uid="{3134F209-73D3-4613-AF07-66496054DB76}">
  <cacheSource type="worksheet">
    <worksheetSource ref="B2:AA885" sheet="Data"/>
  </cacheSource>
  <cacheFields count="26">
    <cacheField name="Site_Desc" numFmtId="0">
      <sharedItems/>
    </cacheField>
    <cacheField name="Address" numFmtId="0">
      <sharedItems/>
    </cacheField>
    <cacheField name="City_ZIP" numFmtId="0">
      <sharedItems/>
    </cacheField>
    <cacheField name="ZIP_5" numFmtId="0">
      <sharedItems containsMixedTypes="1" containsNumber="1" containsInteger="1" minValue="92037" maxValue="92199"/>
    </cacheField>
    <cacheField name="N_S" numFmtId="0">
      <sharedItems/>
    </cacheField>
    <cacheField name="Lati" numFmtId="168">
      <sharedItems containsMixedTypes="1" containsNumber="1" minValue="32.542732000000001" maxValue="33.022494000000002"/>
    </cacheField>
    <cacheField name="Longi" numFmtId="168">
      <sharedItems containsMixedTypes="1" containsNumber="1" minValue="-117.2564" maxValue="-116.93745800000001"/>
    </cacheField>
    <cacheField name="Map_Sym" numFmtId="168">
      <sharedItems containsBlank="1"/>
    </cacheField>
    <cacheField name="Sym_Scl" numFmtId="2">
      <sharedItems containsSemiMixedTypes="0" containsString="0" containsNumber="1" minValue="0.75" maxValue="1.5"/>
    </cacheField>
    <cacheField name="Sym_Clr" numFmtId="2">
      <sharedItems containsBlank="1"/>
    </cacheField>
    <cacheField name="Label_Text" numFmtId="168">
      <sharedItems containsBlank="1"/>
    </cacheField>
    <cacheField name="Label_Scl" numFmtId="2">
      <sharedItems containsSemiMixedTypes="0" containsString="0" containsNumber="1" minValue="0.75" maxValue="1.25"/>
    </cacheField>
    <cacheField name="Label_Clr" numFmtId="2">
      <sharedItems containsBlank="1"/>
    </cacheField>
    <cacheField name="Site_Seq" numFmtId="0">
      <sharedItems containsMixedTypes="1" containsNumber="1" containsInteger="1" minValue="0" maxValue="117"/>
    </cacheField>
    <cacheField name="Area_ft2" numFmtId="164">
      <sharedItems containsBlank="1" containsMixedTypes="1" containsNumber="1" containsInteger="1" minValue="3200" maxValue="1050000"/>
    </cacheField>
    <cacheField name="PV_Type" numFmtId="168">
      <sharedItems containsBlank="1"/>
    </cacheField>
    <cacheField name="PV_Rating" numFmtId="0">
      <sharedItems containsBlank="1"/>
    </cacheField>
    <cacheField name="Struc_W" numFmtId="164">
      <sharedItems containsBlank="1" containsMixedTypes="1" containsNumber="1" containsInteger="1" minValue="0" maxValue="7350000"/>
    </cacheField>
    <cacheField name="Site_Sum_W" numFmtId="164">
      <sharedItems containsBlank="1" containsMixedTypes="1" containsNumber="1" containsInteger="1" minValue="0" maxValue="48236200"/>
    </cacheField>
    <cacheField name="Comments" numFmtId="0">
      <sharedItems containsBlank="1"/>
    </cacheField>
    <cacheField name="CES3Pctl" numFmtId="0">
      <sharedItems containsBlank="1" containsMixedTypes="1" containsNumber="1" containsInteger="1" minValue="76" maxValue="96"/>
    </cacheField>
    <cacheField name="Ckt1_ID" numFmtId="0">
      <sharedItems containsBlank="1" containsMixedTypes="1" containsNumber="1" containsInteger="1" minValue="35" maxValue="1434" count="117">
        <n v="831"/>
        <n v="266"/>
        <n v="537"/>
        <n v="534"/>
        <n v="1104"/>
        <n v="1100"/>
        <n v="292"/>
        <n v="543"/>
        <n v="540"/>
        <n v="577"/>
        <n v="575"/>
        <n v="934"/>
        <n v="937"/>
        <n v="936"/>
        <n v="930"/>
        <n v="737"/>
        <n v="969"/>
        <n v="962"/>
        <n v="968"/>
        <m/>
        <n v="761"/>
        <n v="224"/>
        <n v="959"/>
        <n v="229"/>
        <n v="228"/>
        <n v="729"/>
        <n v="438"/>
        <n v="435"/>
        <n v="223"/>
        <n v="830"/>
        <n v="833"/>
        <n v="832"/>
        <n v="1102"/>
        <n v="500"/>
        <n v="910"/>
        <n v="735"/>
        <n v="748"/>
        <n v="745"/>
        <s v="Multiple"/>
        <n v="65"/>
        <n v="273"/>
        <n v="268"/>
        <n v="270"/>
        <n v="120"/>
        <n v="546"/>
        <n v="741"/>
        <n v="272"/>
        <n v="271"/>
        <n v="776"/>
        <n v="69"/>
        <n v="279"/>
        <n v="274"/>
        <n v="277"/>
        <n v="144"/>
        <n v="774"/>
        <n v="772"/>
        <n v="711"/>
        <n v="712"/>
        <n v="775"/>
        <n v="1286"/>
        <n v="348"/>
        <n v="251"/>
        <n v="254"/>
        <n v="706"/>
        <n v="60"/>
        <n v="707"/>
        <n v="145"/>
        <n v="39"/>
        <n v="1060"/>
        <n v="35"/>
        <n v="147"/>
        <n v="146"/>
        <n v="149"/>
        <n v="704"/>
        <n v="362"/>
        <n v="143"/>
        <n v="85"/>
        <n v="168"/>
        <n v="430"/>
        <n v="88"/>
        <n v="169"/>
        <n v="164"/>
        <n v="385"/>
        <n v="545"/>
        <n v="100"/>
        <n v="491"/>
        <n v="136"/>
        <n v="124"/>
        <n v="55"/>
        <n v="740"/>
        <n v="50"/>
        <n v="458"/>
        <n v="135"/>
        <n v="134"/>
        <n v="426"/>
        <n v="465"/>
        <n v="756"/>
        <n v="131"/>
        <n v="427"/>
        <n v="123"/>
        <n v="167"/>
        <n v="1434"/>
        <n v="323"/>
        <n v="130"/>
        <n v="129"/>
        <n v="128"/>
        <n v="48"/>
        <n v="723"/>
        <n v="460"/>
        <n v="334"/>
        <n v="461"/>
        <n v="1201"/>
        <s v="-"/>
        <n v="533"/>
        <n v="1160"/>
        <n v="535"/>
        <s v="ZZZ-END"/>
      </sharedItems>
    </cacheField>
    <cacheField name="Ckt1_Cap_Avail" numFmtId="0">
      <sharedItems containsBlank="1" containsMixedTypes="1" containsNumber="1" minValue="0.47" maxValue="1.77"/>
    </cacheField>
    <cacheField name="Ckt2_Cap_Avail" numFmtId="43">
      <sharedItems containsBlank="1" containsMixedTypes="1" containsNumber="1" minValue="3.12" maxValue="11.82"/>
    </cacheField>
    <cacheField name="Zone_ID" numFmtId="0">
      <sharedItems containsBlank="1" count="41">
        <s v="North City West"/>
        <s v="Torrey Pines"/>
        <s v="Bernardo"/>
        <s v="Artesian"/>
        <s v="Rancho Carmel"/>
        <s v="Eastgate"/>
        <s v="Mira Mesa"/>
        <m/>
        <s v="Miramar"/>
        <s v="Mesa Rim"/>
        <s v="Scripps"/>
        <s v="Chicarita"/>
        <s v="Genesee"/>
        <s v="Multiple"/>
        <s v="Rose Canyon"/>
        <s v="Pacific Beach"/>
        <s v="Point Loma"/>
        <s v="Mesa Heights"/>
        <s v="Clairmont"/>
        <s v="Mission"/>
        <s v="Kearney"/>
        <s v="Old Town"/>
        <s v="Friars"/>
        <s v="Station F"/>
        <s v="Murray"/>
        <s v="Streamview"/>
        <s v="Chollas West"/>
        <s v="Elliot"/>
        <s v="Kettner"/>
        <s v="Urban"/>
        <s v="Station B"/>
        <s v="Sampson"/>
        <s v="Grant Hill"/>
        <s v="Paradise"/>
        <s v="Division"/>
        <s v="Imperial Beach"/>
        <s v="San Ysidro"/>
        <s v="Missing ICA"/>
        <s v="Border"/>
        <s v="ZZZ-END"/>
        <s v="Miranmar" u="1"/>
      </sharedItems>
    </cacheField>
    <cacheField name="Ckt1_ft" numFmtId="0">
      <sharedItems containsBlank="1" containsMixedTypes="1" containsNumber="1" containsInteger="1" minValue="0" maxValue="295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3">
  <r>
    <s v="Pharma_Medical Pkg Garage"/>
    <s v="3611-3811 Valley Centre Dr"/>
    <s v="San Diego, CA 92130"/>
    <n v="92130"/>
    <s v="N"/>
    <n v="32.937114999999999"/>
    <n v="-117.234416"/>
    <s v="Pkg_Garage"/>
    <n v="1"/>
    <m/>
    <s v=""/>
    <n v="1"/>
    <m/>
    <n v="1"/>
    <n v="157000"/>
    <s v="Pkg_Garage"/>
    <s v="High"/>
    <n v="1099000"/>
    <n v="1099000"/>
    <m/>
    <m/>
    <x v="0"/>
    <n v="1.33"/>
    <n v="8.8800000000000008"/>
    <x v="0"/>
    <n v="0"/>
  </r>
  <r>
    <s v="Becton, Dickinson and Company (BD)"/>
    <s v="3750 Torrey View Ct"/>
    <s v="San Diego, CA 92130"/>
    <n v="92130"/>
    <s v="N"/>
    <n v="32.921973000000001"/>
    <n v="-117.233057"/>
    <s v="Biz"/>
    <n v="1.5"/>
    <m/>
    <s v="Total"/>
    <n v="1.25"/>
    <m/>
    <n v="6"/>
    <m/>
    <m/>
    <m/>
    <n v="0"/>
    <n v="1435000"/>
    <m/>
    <m/>
    <x v="1"/>
    <n v="1.1399999999999999"/>
    <n v="7.57"/>
    <x v="1"/>
    <m/>
  </r>
  <r>
    <s v="BD Pkg Lot NE"/>
    <s v="3750 Torrey View Ct"/>
    <s v="San Diego, CA 92130"/>
    <n v="92130"/>
    <s v="N"/>
    <n v="32.921978000000003"/>
    <n v="-117.230565"/>
    <s v="Pkg_Lot"/>
    <n v="0.75"/>
    <m/>
    <s v=""/>
    <n v="0.75"/>
    <m/>
    <n v="0"/>
    <n v="102000"/>
    <s v="Pkg_Lot"/>
    <s v="High"/>
    <n v="714000"/>
    <n v="0"/>
    <m/>
    <m/>
    <x v="1"/>
    <n v="1.1399999999999999"/>
    <n v="7.57"/>
    <x v="1"/>
    <n v="0"/>
  </r>
  <r>
    <s v="BD Pkg Lot SW"/>
    <s v="3750 Torrey View Ct"/>
    <s v="San Diego, CA 92130"/>
    <n v="92130"/>
    <s v="N"/>
    <n v="32.921325000000003"/>
    <n v="-117.233631"/>
    <s v="Pkg_Lot"/>
    <n v="0.75"/>
    <m/>
    <s v=""/>
    <n v="0.75"/>
    <m/>
    <n v="0"/>
    <n v="40000"/>
    <s v="Pkg_Lot"/>
    <s v="High"/>
    <n v="280000"/>
    <n v="0"/>
    <m/>
    <m/>
    <x v="1"/>
    <n v="1.1399999999999999"/>
    <n v="7.57"/>
    <x v="1"/>
    <n v="0"/>
  </r>
  <r>
    <s v="BD Pkg Lot NW"/>
    <s v="3750 Torrey View Ct"/>
    <s v="San Diego, CA 92130"/>
    <n v="92130"/>
    <s v="N"/>
    <n v="32.922598000000001"/>
    <n v="-117.234005"/>
    <s v="Pkg_Lot"/>
    <n v="0.75"/>
    <m/>
    <s v=""/>
    <n v="0.75"/>
    <m/>
    <n v="0"/>
    <n v="20000"/>
    <s v="Pkg_Lot"/>
    <s v="High"/>
    <n v="140000"/>
    <n v="0"/>
    <m/>
    <m/>
    <x v="1"/>
    <n v="1.1399999999999999"/>
    <n v="7.57"/>
    <x v="1"/>
    <n v="400"/>
  </r>
  <r>
    <s v="BD Bldg W"/>
    <s v="3750 Torrey View Ct"/>
    <s v="San Diego, CA 92130"/>
    <n v="92130"/>
    <s v="N"/>
    <n v="32.922004000000001"/>
    <n v="-117.233797"/>
    <s v="Roof_Flat"/>
    <n v="0.75"/>
    <m/>
    <s v=""/>
    <n v="0.75"/>
    <m/>
    <n v="0"/>
    <n v="23000"/>
    <s v="Roof_Flat"/>
    <s v="High"/>
    <n v="161000"/>
    <n v="0"/>
    <m/>
    <m/>
    <x v="1"/>
    <n v="1.1399999999999999"/>
    <n v="7.57"/>
    <x v="1"/>
    <n v="200"/>
  </r>
  <r>
    <s v="BD Bldg E"/>
    <s v="3750 Torrey View Ct"/>
    <s v="San Diego, CA 92130"/>
    <n v="92130"/>
    <s v="N"/>
    <n v="32.921559999999999"/>
    <n v="-117.23220499999999"/>
    <s v="Roof_Flat"/>
    <n v="0.75"/>
    <m/>
    <s v=""/>
    <n v="0.75"/>
    <m/>
    <n v="0"/>
    <n v="20000"/>
    <s v="Roof_Flat"/>
    <s v="High"/>
    <n v="140000"/>
    <n v="0"/>
    <m/>
    <m/>
    <x v="1"/>
    <n v="1.1399999999999999"/>
    <n v="7.57"/>
    <x v="1"/>
    <n v="200"/>
  </r>
  <r>
    <s v="Unknown Business Park"/>
    <s v="16550 W Bernardo Dr"/>
    <s v="San Diego, CA 92127"/>
    <n v="92127"/>
    <s v="N"/>
    <n v="33.018203"/>
    <n v="-117.085942"/>
    <s v="Biz"/>
    <n v="1.5"/>
    <m/>
    <s v="Total"/>
    <n v="1.25"/>
    <m/>
    <n v="6"/>
    <m/>
    <m/>
    <m/>
    <n v="0"/>
    <n v="4741000"/>
    <s v="Unclear if feeder extends into center of business park; two feeders in area"/>
    <m/>
    <x v="2"/>
    <n v="1.46"/>
    <n v="9.75"/>
    <x v="2"/>
    <m/>
  </r>
  <r>
    <s v="Northrop Grumman Bldg 8"/>
    <s v="16550 W Bernardo Dr"/>
    <s v="San Diego, CA 92127"/>
    <n v="92127"/>
    <s v="N"/>
    <n v="33.016888000000002"/>
    <n v="-117.086359"/>
    <s v="Roof_Flat"/>
    <n v="0.75"/>
    <m/>
    <s v=""/>
    <n v="0.75"/>
    <m/>
    <n v="0"/>
    <n v="262000"/>
    <s v="Roof_Flat"/>
    <s v="Low"/>
    <n v="1310000"/>
    <n v="0"/>
    <m/>
    <m/>
    <x v="2"/>
    <n v="1.46"/>
    <n v="9.75"/>
    <x v="2"/>
    <n v="0"/>
  </r>
  <r>
    <s v="Menon"/>
    <s v="16550 W Bernardo Dr"/>
    <s v="San Diego, CA 92127"/>
    <n v="92127"/>
    <s v="N"/>
    <n v="33.018973000000003"/>
    <n v="-117.084557"/>
    <s v="Roof_Flat"/>
    <n v="0.75"/>
    <m/>
    <s v=""/>
    <n v="0.75"/>
    <m/>
    <n v="0"/>
    <n v="160000"/>
    <s v="Roof_Flat"/>
    <s v="Medium"/>
    <n v="960000"/>
    <n v="0"/>
    <m/>
    <m/>
    <x v="3"/>
    <n v="1.75"/>
    <n v="11.65"/>
    <x v="2"/>
    <n v="0"/>
  </r>
  <r>
    <s v="Pkg 1"/>
    <s v="16550 W Bernardo Dr"/>
    <s v="San Diego, CA 92127"/>
    <n v="92127"/>
    <s v="N"/>
    <n v="33.019606000000003"/>
    <n v="-117.08598499999999"/>
    <s v="Pkg_Lot"/>
    <n v="0.75"/>
    <m/>
    <s v=""/>
    <n v="0.75"/>
    <m/>
    <n v="0"/>
    <n v="176000"/>
    <s v="Pkg_Lot"/>
    <s v="High"/>
    <n v="1232000"/>
    <n v="0"/>
    <m/>
    <m/>
    <x v="3"/>
    <n v="1.75"/>
    <n v="11.65"/>
    <x v="2"/>
    <n v="200"/>
  </r>
  <r>
    <s v="Pkg 2"/>
    <s v="16550 W Bernardo Dr"/>
    <s v="San Diego, CA 92127"/>
    <n v="92127"/>
    <s v="N"/>
    <n v="33.017420000000001"/>
    <n v="-117.086974"/>
    <s v="Pkg_Lot"/>
    <n v="0.75"/>
    <m/>
    <s v=""/>
    <n v="0.75"/>
    <m/>
    <n v="0"/>
    <n v="108000"/>
    <s v="Pkg_Lot"/>
    <s v="High"/>
    <n v="756000"/>
    <n v="0"/>
    <m/>
    <m/>
    <x v="3"/>
    <n v="1.75"/>
    <n v="11.65"/>
    <x v="2"/>
    <n v="100"/>
  </r>
  <r>
    <s v="Pkg 3"/>
    <s v="16550 W Bernardo Dr"/>
    <s v="San Diego, CA 92127"/>
    <n v="92127"/>
    <s v="N"/>
    <n v="33.017429"/>
    <n v="-117.085171"/>
    <s v="Pkg_Lot"/>
    <n v="0.75"/>
    <m/>
    <s v=""/>
    <n v="0.75"/>
    <m/>
    <n v="0"/>
    <n v="69000"/>
    <s v="Pkg_Lot"/>
    <s v="High"/>
    <n v="483000"/>
    <n v="0"/>
    <m/>
    <m/>
    <x v="2"/>
    <n v="1.46"/>
    <n v="9.75"/>
    <x v="2"/>
    <n v="300"/>
  </r>
  <r>
    <s v="Unknown Shopping Center"/>
    <s v="17170 Camino Del Sur"/>
    <s v="San Diego, CA 92127"/>
    <n v="92127"/>
    <s v="N"/>
    <n v="33.020079000000003"/>
    <n v="-117.12541299999999"/>
    <s v="Shopping"/>
    <n v="1.5"/>
    <m/>
    <s v="Total"/>
    <n v="1.25"/>
    <m/>
    <n v="7"/>
    <m/>
    <m/>
    <m/>
    <n v="0"/>
    <n v="2713000"/>
    <s v="Distance is rough estimate; two feeders in area"/>
    <m/>
    <x v="4"/>
    <n v="0.88"/>
    <n v="5.27"/>
    <x v="3"/>
    <m/>
  </r>
  <r>
    <s v="Target"/>
    <s v="17170 Camino Del Sur"/>
    <s v="San Diego, CA 92127"/>
    <n v="92127"/>
    <s v="N"/>
    <n v="33.019455000000001"/>
    <n v="-117.125607"/>
    <s v="Roof_Flat"/>
    <n v="0.75"/>
    <m/>
    <s v=""/>
    <n v="0.75"/>
    <m/>
    <n v="0"/>
    <n v="136000"/>
    <s v="Roof_Flat"/>
    <s v="Medium"/>
    <n v="816000"/>
    <n v="0"/>
    <m/>
    <m/>
    <x v="4"/>
    <n v="0.88"/>
    <n v="5.27"/>
    <x v="3"/>
    <n v="0"/>
  </r>
  <r>
    <s v="Shopping Ctr Pkg 1"/>
    <s v="17170 Camino Del Sur"/>
    <s v="San Diego, CA 92127"/>
    <n v="92127"/>
    <s v="N"/>
    <n v="33.019829000000001"/>
    <n v="-117.126283"/>
    <s v="Pkg_Lot"/>
    <n v="0.75"/>
    <m/>
    <s v=""/>
    <n v="0.75"/>
    <m/>
    <n v="0"/>
    <n v="36000"/>
    <s v="Pkg_Lot"/>
    <s v="High"/>
    <n v="252000"/>
    <n v="0"/>
    <m/>
    <m/>
    <x v="4"/>
    <n v="0.88"/>
    <n v="5.27"/>
    <x v="3"/>
    <n v="100"/>
  </r>
  <r>
    <s v="Shopping Ctr Pkg 2"/>
    <s v="17170 Camino Del Sur"/>
    <s v="San Diego, CA 92127"/>
    <n v="92127"/>
    <s v="N"/>
    <n v="33.020775999999998"/>
    <n v="-117.12606100000001"/>
    <s v="Pkg_Lot"/>
    <n v="0.75"/>
    <m/>
    <s v=""/>
    <n v="0.75"/>
    <m/>
    <n v="0"/>
    <n v="50000"/>
    <s v="Pkg_Lot"/>
    <s v="High"/>
    <n v="350000"/>
    <n v="0"/>
    <m/>
    <m/>
    <x v="4"/>
    <n v="0.88"/>
    <n v="5.27"/>
    <x v="3"/>
    <n v="200"/>
  </r>
  <r>
    <s v="Shopping Ctr Pkg 3"/>
    <s v="17170 Camino Del Sur"/>
    <s v="San Diego, CA 92127"/>
    <n v="92127"/>
    <s v="N"/>
    <n v="33.020772999999998"/>
    <n v="-117.125474"/>
    <s v="Pkg_Lot"/>
    <n v="0.75"/>
    <m/>
    <s v=""/>
    <n v="0.75"/>
    <m/>
    <n v="0"/>
    <n v="29000"/>
    <s v="Pkg_Lot"/>
    <s v="High"/>
    <n v="203000"/>
    <n v="0"/>
    <m/>
    <m/>
    <x v="5"/>
    <n v="1.23"/>
    <n v="8.18"/>
    <x v="3"/>
    <n v="300"/>
  </r>
  <r>
    <s v="Shopping Ctr Pkg 4"/>
    <s v="17170 Camino Del Sur"/>
    <s v="San Diego, CA 92127"/>
    <n v="92127"/>
    <s v="N"/>
    <n v="33.020561999999998"/>
    <n v="-117.12485100000001"/>
    <s v="Pkg_Lot"/>
    <n v="0.75"/>
    <m/>
    <s v=""/>
    <n v="0.75"/>
    <m/>
    <n v="0"/>
    <n v="80000"/>
    <s v="Pkg_Lot"/>
    <s v="High"/>
    <n v="560000"/>
    <n v="0"/>
    <m/>
    <m/>
    <x v="5"/>
    <n v="1.23"/>
    <n v="8.18"/>
    <x v="3"/>
    <n v="300"/>
  </r>
  <r>
    <s v="Shopping Ctr Pkg 5"/>
    <s v="17170 Camino Del Sur"/>
    <s v="San Diego, CA 92127"/>
    <n v="92127"/>
    <s v="N"/>
    <n v="33.020099999999999"/>
    <n v="-117.12313"/>
    <s v="Pkg_Lot"/>
    <n v="0.75"/>
    <m/>
    <s v=""/>
    <n v="0.75"/>
    <m/>
    <n v="0"/>
    <n v="76000"/>
    <s v="Pkg_Lot"/>
    <s v="High"/>
    <n v="532000"/>
    <n v="0"/>
    <m/>
    <m/>
    <x v="5"/>
    <n v="1.23"/>
    <n v="8.18"/>
    <x v="3"/>
    <n v="200"/>
  </r>
  <r>
    <s v="Del Norte High School"/>
    <s v="16601 Nighthawk Ln"/>
    <s v="San Diego, CA 92127"/>
    <n v="92127"/>
    <s v="N"/>
    <n v="33.014448000000002"/>
    <n v="-117.12153000000001"/>
    <s v="Edu"/>
    <n v="1.5"/>
    <m/>
    <s v="Total"/>
    <n v="1.25"/>
    <m/>
    <n v="5"/>
    <m/>
    <m/>
    <m/>
    <n v="0"/>
    <n v="2044000"/>
    <s v="Two feeders in the area; 1104 and 1100"/>
    <m/>
    <x v="4"/>
    <n v="0.88"/>
    <n v="5.27"/>
    <x v="3"/>
    <m/>
  </r>
  <r>
    <s v="Del Norte HS Pkg 1"/>
    <s v="16601 Nighthawk Ln"/>
    <s v="San Diego, CA 92127"/>
    <n v="92127"/>
    <s v="N"/>
    <n v="33.015134000000003"/>
    <n v="-117.123485"/>
    <s v="Pkg_Lot"/>
    <n v="0.75"/>
    <m/>
    <s v=""/>
    <n v="0.75"/>
    <m/>
    <n v="0"/>
    <n v="51000"/>
    <s v="Pkg_Lot"/>
    <s v="High"/>
    <n v="357000"/>
    <n v="0"/>
    <m/>
    <m/>
    <x v="4"/>
    <n v="0.88"/>
    <n v="5.27"/>
    <x v="3"/>
    <n v="0"/>
  </r>
  <r>
    <s v="Del Norte HS Pkg 2"/>
    <s v="16601 Nighthawk Ln"/>
    <s v="San Diego, CA 92127"/>
    <n v="92127"/>
    <s v="N"/>
    <n v="33.015884999999997"/>
    <n v="-117.12273500000001"/>
    <s v="Pkg_Lot"/>
    <n v="0.75"/>
    <m/>
    <s v=""/>
    <n v="0.75"/>
    <m/>
    <n v="0"/>
    <n v="123000"/>
    <s v="Pkg_Lot"/>
    <s v="High"/>
    <n v="861000"/>
    <n v="0"/>
    <m/>
    <m/>
    <x v="4"/>
    <n v="0.88"/>
    <n v="5.27"/>
    <x v="3"/>
    <n v="100"/>
  </r>
  <r>
    <s v="Del Norte HS Pkg 3"/>
    <s v="16601 Nighthawk Ln"/>
    <s v="San Diego, CA 92127"/>
    <n v="92127"/>
    <s v="N"/>
    <n v="33.016047"/>
    <n v="-117.121375"/>
    <s v="Pkg_Lot"/>
    <n v="0.75"/>
    <m/>
    <s v=""/>
    <n v="0.75"/>
    <m/>
    <n v="0"/>
    <n v="104000"/>
    <s v="Pkg_Lot"/>
    <s v="High"/>
    <n v="728000"/>
    <n v="0"/>
    <m/>
    <m/>
    <x v="4"/>
    <n v="0.88"/>
    <n v="5.27"/>
    <x v="3"/>
    <n v="200"/>
  </r>
  <r>
    <s v="Del Norte HS Pkg 4"/>
    <s v="16601 Nighthawk Ln"/>
    <s v="San Diego, CA 92127"/>
    <n v="92127"/>
    <s v="N"/>
    <n v="33.015422999999998"/>
    <n v="-117.12020800000001"/>
    <s v="Pkg_Lot"/>
    <n v="0.75"/>
    <m/>
    <s v=""/>
    <n v="0.75"/>
    <m/>
    <n v="0"/>
    <n v="14000"/>
    <s v="Pkg_Lot"/>
    <s v="High"/>
    <n v="98000"/>
    <n v="0"/>
    <m/>
    <m/>
    <x v="5"/>
    <n v="1.23"/>
    <n v="8.18"/>
    <x v="3"/>
    <n v="100"/>
  </r>
  <r>
    <s v="Broadcom Pkg Lot"/>
    <s v="16340 W Bernardo Dr"/>
    <s v="San Diego, CA 92127"/>
    <n v="92127"/>
    <s v="N"/>
    <n v="33.013503"/>
    <n v="-117.091024"/>
    <s v="Pkg_Lot"/>
    <n v="1"/>
    <m/>
    <s v=""/>
    <n v="1"/>
    <m/>
    <n v="1"/>
    <n v="255000"/>
    <s v="Pkg_Lot"/>
    <s v="High"/>
    <n v="1785000"/>
    <n v="1785000"/>
    <m/>
    <m/>
    <x v="6"/>
    <n v="1.27"/>
    <n v="8.4700000000000006"/>
    <x v="2"/>
    <n v="0"/>
  </r>
  <r>
    <s v="HP Offices"/>
    <s v="16399 W Bernardo Dr"/>
    <s v="San Diego, CA 92127"/>
    <n v="92127"/>
    <s v="N"/>
    <n v="33.011339999999997"/>
    <n v="-117.087931"/>
    <s v="Biz"/>
    <n v="1.5"/>
    <m/>
    <s v="Total"/>
    <n v="1.25"/>
    <m/>
    <n v="7"/>
    <m/>
    <m/>
    <m/>
    <n v="0"/>
    <n v="3234000"/>
    <m/>
    <m/>
    <x v="7"/>
    <n v="1.49"/>
    <n v="9.9"/>
    <x v="2"/>
    <m/>
  </r>
  <r>
    <s v="HP Offices-Existing PV"/>
    <s v="16399 W Bernardo Dr"/>
    <s v="San Diego, CA 92127"/>
    <n v="92127"/>
    <s v="N"/>
    <n v="33.011015"/>
    <n v="-117.089725"/>
    <s v="Target"/>
    <n v="0.75"/>
    <s v="Red"/>
    <s v=""/>
    <n v="0.75"/>
    <m/>
    <n v="0"/>
    <m/>
    <s v="Existing"/>
    <m/>
    <n v="0"/>
    <n v="0"/>
    <m/>
    <m/>
    <x v="8"/>
    <n v="1.44"/>
    <n v="9.6"/>
    <x v="2"/>
    <n v="400"/>
  </r>
  <r>
    <s v="HP Offices-Pkg 1"/>
    <s v="16399 W Bernardo Dr"/>
    <s v="San Diego, CA 92127"/>
    <n v="92127"/>
    <s v="N"/>
    <n v="33.012452000000003"/>
    <n v="-117.088685"/>
    <s v="Pkg_Lot"/>
    <n v="0.75"/>
    <m/>
    <s v=""/>
    <n v="0.75"/>
    <m/>
    <n v="0"/>
    <n v="67000"/>
    <s v="Pkg_Lot"/>
    <s v="High"/>
    <n v="469000"/>
    <n v="0"/>
    <m/>
    <m/>
    <x v="7"/>
    <n v="1.49"/>
    <n v="9.9"/>
    <x v="2"/>
    <n v="100"/>
  </r>
  <r>
    <s v="HP Offices-Pkg 2"/>
    <s v="16399 W Bernardo Dr"/>
    <s v="San Diego, CA 92127"/>
    <n v="92127"/>
    <s v="N"/>
    <n v="33.012146999999999"/>
    <n v="-117.090131"/>
    <s v="Pkg_Lot"/>
    <n v="0.75"/>
    <m/>
    <s v=""/>
    <n v="0.75"/>
    <m/>
    <n v="0"/>
    <n v="83000"/>
    <s v="Pkg_Lot"/>
    <s v="High"/>
    <n v="581000"/>
    <n v="0"/>
    <m/>
    <m/>
    <x v="7"/>
    <n v="1.49"/>
    <n v="9.9"/>
    <x v="2"/>
    <n v="100"/>
  </r>
  <r>
    <s v="HP Offices-Pkg 3"/>
    <s v="16399 W Bernardo Dr"/>
    <s v="San Diego, CA 92127"/>
    <n v="92127"/>
    <s v="N"/>
    <n v="33.010756000000001"/>
    <n v="-117.09079699999999"/>
    <s v="Pkg_Lot"/>
    <n v="0.75"/>
    <m/>
    <s v=""/>
    <n v="0.75"/>
    <m/>
    <n v="0"/>
    <n v="48000"/>
    <s v="Pkg_Lot"/>
    <s v="High"/>
    <n v="336000"/>
    <n v="0"/>
    <m/>
    <m/>
    <x v="7"/>
    <n v="1.49"/>
    <n v="9.9"/>
    <x v="2"/>
    <n v="150"/>
  </r>
  <r>
    <s v="HP Offices-Pkg 4"/>
    <s v="16399 W Bernardo Dr"/>
    <s v="San Diego, CA 92127"/>
    <n v="92127"/>
    <s v="N"/>
    <n v="33.009923999999998"/>
    <n v="-117.090064"/>
    <s v="Pkg_Lot"/>
    <n v="0.75"/>
    <m/>
    <s v=""/>
    <n v="0.75"/>
    <m/>
    <n v="0"/>
    <n v="150000"/>
    <s v="Pkg_Lot"/>
    <s v="High"/>
    <n v="1050000"/>
    <n v="0"/>
    <m/>
    <m/>
    <x v="7"/>
    <n v="1.49"/>
    <n v="9.9"/>
    <x v="2"/>
    <n v="200"/>
  </r>
  <r>
    <s v="HP Offices-Pkg 5"/>
    <s v="16399 W Bernardo Dr"/>
    <s v="San Diego, CA 92127"/>
    <n v="92127"/>
    <s v="N"/>
    <n v="33.009422000000001"/>
    <n v="-117.08894600000001"/>
    <s v="Pkg_Lot"/>
    <n v="0.75"/>
    <m/>
    <s v=""/>
    <n v="0.75"/>
    <m/>
    <n v="0"/>
    <n v="114000"/>
    <s v="Pkg_Lot"/>
    <s v="High"/>
    <n v="798000"/>
    <n v="0"/>
    <m/>
    <m/>
    <x v="7"/>
    <n v="1.49"/>
    <n v="9.9"/>
    <x v="2"/>
    <n v="300"/>
  </r>
  <r>
    <s v="Jerome's - Corp HQ / Distribution Center"/>
    <s v="16960 Mesamint St"/>
    <s v="San Diego, CA 92127"/>
    <n v="92127"/>
    <s v="N"/>
    <n v="33.016530000000003"/>
    <n v="-117.106022"/>
    <s v="Roof_Flat"/>
    <n v="1"/>
    <m/>
    <s v=""/>
    <n v="1"/>
    <m/>
    <n v="1"/>
    <n v="382000"/>
    <s v="Roof_Flat"/>
    <s v="Medium"/>
    <n v="2292000"/>
    <n v="2292000"/>
    <s v="Skylights"/>
    <m/>
    <x v="9"/>
    <n v="1.48"/>
    <n v="9.9"/>
    <x v="2"/>
    <n v="0"/>
  </r>
  <r>
    <s v="Amazon DSD1 Warehouse"/>
    <s v="16550 Via Esprillo"/>
    <s v="San Diego, CA 92127"/>
    <n v="92127"/>
    <s v="N"/>
    <n v="33.017825000000002"/>
    <n v="-117.091482"/>
    <s v="Storage"/>
    <n v="1.5"/>
    <m/>
    <s v="Total"/>
    <n v="1.25"/>
    <m/>
    <n v="3"/>
    <m/>
    <m/>
    <m/>
    <n v="0"/>
    <n v="1319000"/>
    <m/>
    <m/>
    <x v="2"/>
    <n v="1.46"/>
    <n v="9.75"/>
    <x v="2"/>
    <m/>
  </r>
  <r>
    <s v="Amazon DSD1 Warehouse Bldg"/>
    <s v="16550 Via Esprillo"/>
    <s v="San Diego, CA 92127"/>
    <n v="92127"/>
    <s v="N"/>
    <n v="33.016975000000002"/>
    <n v="-117.090836"/>
    <s v="Roof_Flat"/>
    <n v="0.75"/>
    <m/>
    <s v=""/>
    <n v="0.75"/>
    <m/>
    <n v="0"/>
    <n v="163000"/>
    <s v="Roof_Flat"/>
    <s v="Low"/>
    <n v="815000"/>
    <n v="0"/>
    <s v="Skylights"/>
    <m/>
    <x v="2"/>
    <n v="1.46"/>
    <n v="9.75"/>
    <x v="2"/>
    <n v="100"/>
  </r>
  <r>
    <s v="Amazon DSD1 Warehouse Pkg"/>
    <s v="16550 Via Esprillo"/>
    <s v="San Diego, CA 92127"/>
    <n v="92127"/>
    <s v="N"/>
    <n v="33.018386999999997"/>
    <n v="-117.091335"/>
    <s v="Pkg_Lot"/>
    <n v="0.75"/>
    <m/>
    <s v=""/>
    <n v="0.75"/>
    <m/>
    <n v="0"/>
    <n v="72000"/>
    <s v="Pkg_Lot"/>
    <s v="High"/>
    <n v="504000"/>
    <n v="0"/>
    <m/>
    <m/>
    <x v="2"/>
    <n v="1.46"/>
    <n v="9.75"/>
    <x v="2"/>
    <n v="0"/>
  </r>
  <r>
    <s v="General Atomics"/>
    <s v="16761 Via Del Campo Ct"/>
    <s v="San Diego, CA 92127"/>
    <n v="92127"/>
    <s v="N"/>
    <n v="33.016739999999999"/>
    <n v="-117.09319499999999"/>
    <s v="Biz"/>
    <n v="1.5"/>
    <m/>
    <s v="Total"/>
    <n v="1.25"/>
    <m/>
    <n v="8"/>
    <m/>
    <m/>
    <m/>
    <n v="0"/>
    <n v="4244000"/>
    <m/>
    <m/>
    <x v="7"/>
    <n v="1.49"/>
    <n v="9.9"/>
    <x v="2"/>
    <m/>
  </r>
  <r>
    <s v="General Atomics Aero"/>
    <s v="16761 Via Del Campo Ct"/>
    <s v="San Diego, CA 92127"/>
    <n v="92127"/>
    <s v="N"/>
    <n v="33.017946000000002"/>
    <n v="-117.094948"/>
    <s v="Roof_Flat"/>
    <n v="0.75"/>
    <m/>
    <s v=""/>
    <n v="0.75"/>
    <m/>
    <n v="0"/>
    <n v="89000"/>
    <s v="Roof_Flat"/>
    <s v="Medium"/>
    <n v="534000"/>
    <n v="0"/>
    <s v="Eqpt cutouts"/>
    <m/>
    <x v="7"/>
    <n v="1.49"/>
    <n v="9.9"/>
    <x v="2"/>
    <n v="100"/>
  </r>
  <r>
    <s v="General Atomics G-92"/>
    <s v="16761 Via Del Campo Ct"/>
    <s v="San Diego, CA 92127"/>
    <n v="92127"/>
    <s v="N"/>
    <n v="33.016945999999997"/>
    <n v="-117.09217099999999"/>
    <s v="Roof_Flat"/>
    <n v="0.75"/>
    <m/>
    <s v=""/>
    <n v="0.75"/>
    <m/>
    <n v="0"/>
    <n v="88000"/>
    <s v="Roof_Flat"/>
    <s v="High"/>
    <n v="616000"/>
    <n v="0"/>
    <s v="Eqpt cutouts"/>
    <m/>
    <x v="7"/>
    <n v="1.49"/>
    <n v="9.9"/>
    <x v="2"/>
    <n v="0"/>
  </r>
  <r>
    <s v="General Atomics Pkg 1"/>
    <s v="16761 Via Del Campo Ct"/>
    <s v="San Diego, CA 92127"/>
    <n v="92127"/>
    <s v="N"/>
    <n v="33.017482000000001"/>
    <n v="-117.093771"/>
    <s v="Pkg_Lot"/>
    <n v="0.75"/>
    <m/>
    <s v=""/>
    <n v="0.75"/>
    <m/>
    <n v="0"/>
    <n v="53000"/>
    <s v="Pkg_Lot"/>
    <s v="High"/>
    <n v="371000"/>
    <n v="0"/>
    <m/>
    <m/>
    <x v="7"/>
    <n v="1.49"/>
    <n v="9.9"/>
    <x v="2"/>
    <n v="100"/>
  </r>
  <r>
    <s v="General Atomics Pkg 2"/>
    <s v="16761 Via Del Campo Ct"/>
    <s v="San Diego, CA 92127"/>
    <n v="92127"/>
    <s v="N"/>
    <n v="33.019007999999999"/>
    <n v="-117.093255"/>
    <s v="Pkg_Lot"/>
    <n v="0.75"/>
    <m/>
    <s v=""/>
    <n v="0.75"/>
    <m/>
    <n v="0"/>
    <n v="139000"/>
    <s v="Pkg_Lot"/>
    <s v="High"/>
    <n v="973000"/>
    <n v="0"/>
    <m/>
    <m/>
    <x v="7"/>
    <n v="1.49"/>
    <n v="9.9"/>
    <x v="2"/>
    <n v="0"/>
  </r>
  <r>
    <s v="General Atomics Pkg 3"/>
    <s v="16761 Via Del Campo Ct"/>
    <s v="San Diego, CA 92127"/>
    <n v="92127"/>
    <s v="N"/>
    <n v="33.019077000000003"/>
    <n v="-117.0917"/>
    <s v="Pkg_Lot"/>
    <n v="0.75"/>
    <m/>
    <s v=""/>
    <n v="0.75"/>
    <m/>
    <n v="0"/>
    <n v="104000"/>
    <s v="Pkg_Lot"/>
    <s v="High"/>
    <n v="728000"/>
    <n v="0"/>
    <m/>
    <m/>
    <x v="7"/>
    <n v="1.49"/>
    <n v="9.9"/>
    <x v="2"/>
    <n v="0"/>
  </r>
  <r>
    <s v="General Atomics Pkg 4"/>
    <s v="16761 Via Del Campo Ct"/>
    <s v="San Diego, CA 92127"/>
    <n v="92127"/>
    <s v="N"/>
    <n v="33.018082"/>
    <n v="-117.093014"/>
    <s v="Pkg_Lot"/>
    <n v="0.75"/>
    <m/>
    <s v=""/>
    <n v="0.75"/>
    <m/>
    <n v="0"/>
    <n v="44000"/>
    <s v="Pkg_Lot"/>
    <s v="High"/>
    <n v="308000"/>
    <n v="0"/>
    <m/>
    <m/>
    <x v="7"/>
    <n v="1.49"/>
    <n v="9.9"/>
    <x v="2"/>
    <n v="0"/>
  </r>
  <r>
    <s v="General Atomics Pkg 5"/>
    <s v="16761 Via Del Campo Ct"/>
    <s v="San Diego, CA 92127"/>
    <n v="92127"/>
    <s v="N"/>
    <n v="33.015672000000002"/>
    <n v="-117.092643"/>
    <s v="Pkg_Lot"/>
    <n v="0.75"/>
    <m/>
    <s v=""/>
    <n v="0.75"/>
    <m/>
    <n v="0"/>
    <n v="102000"/>
    <s v="Pkg_Lot"/>
    <s v="High"/>
    <n v="714000"/>
    <n v="0"/>
    <m/>
    <m/>
    <x v="7"/>
    <n v="1.49"/>
    <n v="9.9"/>
    <x v="2"/>
    <n v="100"/>
  </r>
  <r>
    <s v="TD &amp;amp; Northrup"/>
    <s v="17095 Via Del Campo"/>
    <s v="San Diego, CA 92127"/>
    <n v="92127"/>
    <s v="N"/>
    <n v="33.022494000000002"/>
    <n v="-117.091536"/>
    <s v="Pkg_Lot"/>
    <n v="1.5"/>
    <m/>
    <s v="Total"/>
    <n v="1.25"/>
    <m/>
    <n v="7"/>
    <m/>
    <m/>
    <m/>
    <n v="0"/>
    <n v="2576000"/>
    <m/>
    <m/>
    <x v="10"/>
    <n v="1.5"/>
    <n v="10"/>
    <x v="2"/>
    <m/>
  </r>
  <r>
    <s v="Teradata Corp Roof"/>
    <s v="17095 Via Del Campo"/>
    <s v="San Diego, CA 92127"/>
    <n v="92127"/>
    <s v="N"/>
    <n v="33.022416999999997"/>
    <n v="-117.092444"/>
    <s v="Pkg_Lot"/>
    <n v="0.75"/>
    <m/>
    <s v=""/>
    <n v="0.75"/>
    <m/>
    <n v="0"/>
    <n v="37000"/>
    <s v="Roof_Flat"/>
    <s v="High"/>
    <n v="259000"/>
    <n v="0"/>
    <m/>
    <m/>
    <x v="10"/>
    <n v="1.5"/>
    <n v="10"/>
    <x v="2"/>
    <n v="0"/>
  </r>
  <r>
    <s v="Northrup Grumman Bldg #3 Roof"/>
    <s v="17095 Via Del Campo"/>
    <s v="San Diego, CA 92127"/>
    <n v="92127"/>
    <s v="N"/>
    <n v="33.021554999999999"/>
    <n v="-117.091234"/>
    <s v="Pkg_Lot"/>
    <n v="0.75"/>
    <m/>
    <s v=""/>
    <n v="0.75"/>
    <m/>
    <n v="0"/>
    <n v="41000"/>
    <s v="Roof_Flat"/>
    <s v="High"/>
    <n v="287000"/>
    <n v="0"/>
    <m/>
    <m/>
    <x v="10"/>
    <n v="1.5"/>
    <n v="10"/>
    <x v="2"/>
    <n v="0"/>
  </r>
  <r>
    <s v="Unk Bldg south"/>
    <s v="17095 Via Del Campo"/>
    <s v="San Diego, CA 92127"/>
    <n v="92127"/>
    <s v="N"/>
    <n v="33.021372999999997"/>
    <n v="-117.09252600000001"/>
    <s v="Pkg_Lot"/>
    <n v="0.75"/>
    <m/>
    <s v=""/>
    <n v="0.75"/>
    <m/>
    <n v="0"/>
    <n v="55000"/>
    <s v="Roof_Flat"/>
    <s v="High"/>
    <n v="385000"/>
    <n v="0"/>
    <m/>
    <m/>
    <x v="10"/>
    <n v="1.5"/>
    <n v="10"/>
    <x v="2"/>
    <n v="0"/>
  </r>
  <r>
    <s v="TD Pkg Lot W"/>
    <s v="17095 Via Del Campo"/>
    <s v="San Diego, CA 92127"/>
    <n v="92127"/>
    <s v="N"/>
    <n v="33.022176999999999"/>
    <n v="-117.093778"/>
    <s v="Pkg_Lot"/>
    <n v="0.75"/>
    <m/>
    <s v=""/>
    <n v="0.75"/>
    <m/>
    <n v="0"/>
    <n v="89000"/>
    <s v="Pkg_Lot"/>
    <s v="High"/>
    <n v="623000"/>
    <n v="0"/>
    <m/>
    <m/>
    <x v="10"/>
    <n v="1.5"/>
    <n v="10"/>
    <x v="2"/>
    <n v="0"/>
  </r>
  <r>
    <s v="NG3 Pkg Lot E"/>
    <s v="17095 Via Del Campo"/>
    <s v="San Diego, CA 92127"/>
    <n v="92127"/>
    <s v="N"/>
    <n v="33.020836000000003"/>
    <n v="-117.09100599999999"/>
    <s v="Pkg_Lot"/>
    <n v="0.75"/>
    <m/>
    <s v=""/>
    <n v="0.75"/>
    <m/>
    <n v="0"/>
    <n v="113000"/>
    <s v="Pkg_Lot"/>
    <s v="High"/>
    <n v="791000"/>
    <n v="0"/>
    <m/>
    <m/>
    <x v="10"/>
    <n v="1.5"/>
    <n v="10"/>
    <x v="2"/>
    <n v="0"/>
  </r>
  <r>
    <s v="Unk Bldg pkg lot S"/>
    <s v="17095 Via Del Campo"/>
    <s v="San Diego, CA 92127"/>
    <n v="92127"/>
    <s v="N"/>
    <n v="33.020783999999999"/>
    <n v="-117.092901"/>
    <s v="Pkg_Lot"/>
    <n v="0.75"/>
    <m/>
    <s v=""/>
    <n v="0.75"/>
    <m/>
    <n v="0"/>
    <n v="33000"/>
    <s v="Pkg_Lot"/>
    <s v="High"/>
    <n v="231000"/>
    <n v="0"/>
    <m/>
    <m/>
    <x v="10"/>
    <n v="1.5"/>
    <n v="10"/>
    <x v="2"/>
    <n v="0"/>
  </r>
  <r>
    <s v="Summit at Rancho Bernardo"/>
    <s v="16620 W Bernardo Dr"/>
    <s v="San Diego, CA 92127"/>
    <n v="92127"/>
    <s v="N"/>
    <n v="33.014744999999998"/>
    <n v="-117.08564"/>
    <s v="Pkg_Lot"/>
    <n v="1"/>
    <m/>
    <s v=""/>
    <n v="1"/>
    <m/>
    <n v="1"/>
    <n v="174000"/>
    <s v="Pkg_Lot"/>
    <s v="High"/>
    <n v="1218000"/>
    <n v="1218000"/>
    <m/>
    <m/>
    <x v="2"/>
    <n v="1.46"/>
    <n v="9.75"/>
    <x v="2"/>
    <n v="0"/>
  </r>
  <r>
    <s v="Maranatha Chapel"/>
    <s v="10752 Coastwood Rd"/>
    <s v="San Diego, CA 92127"/>
    <n v="92127"/>
    <s v="N"/>
    <n v="33.020040999999999"/>
    <n v="-117.103953"/>
    <s v="Pkg_Lot"/>
    <n v="1.5"/>
    <m/>
    <s v="Total"/>
    <n v="1.25"/>
    <m/>
    <n v="4"/>
    <m/>
    <m/>
    <m/>
    <n v="0"/>
    <n v="1568000"/>
    <m/>
    <m/>
    <x v="9"/>
    <n v="1.48"/>
    <n v="9.9"/>
    <x v="2"/>
    <m/>
  </r>
  <r>
    <s v="Maranatha Chapel Bldg"/>
    <s v="10752 Coastwood Rd"/>
    <s v="San Diego, CA 92127"/>
    <n v="92127"/>
    <s v="N"/>
    <n v="33.020609"/>
    <n v="-117.10368800000001"/>
    <s v="Roof_Flat"/>
    <n v="0.75"/>
    <m/>
    <s v=""/>
    <n v="0.75"/>
    <m/>
    <n v="0"/>
    <n v="13000"/>
    <s v="Roof_Flat"/>
    <s v="High"/>
    <n v="91000"/>
    <n v="0"/>
    <m/>
    <m/>
    <x v="9"/>
    <n v="1.48"/>
    <n v="9.9"/>
    <x v="2"/>
    <n v="0"/>
  </r>
  <r>
    <s v="Maranatha Chapel Pkg W"/>
    <s v="10752 Coastwood Rd"/>
    <s v="San Diego, CA 92127"/>
    <n v="92127"/>
    <s v="N"/>
    <n v="33.019756999999998"/>
    <n v="-117.104725"/>
    <s v="Pkg_Lot"/>
    <n v="0.75"/>
    <m/>
    <s v=""/>
    <n v="0.75"/>
    <m/>
    <n v="0"/>
    <n v="139000"/>
    <s v="Pkg_Lot"/>
    <s v="High"/>
    <n v="973000"/>
    <n v="0"/>
    <m/>
    <m/>
    <x v="9"/>
    <n v="1.48"/>
    <n v="9.9"/>
    <x v="2"/>
    <n v="50"/>
  </r>
  <r>
    <s v="Maranatha Chapel Pkg E"/>
    <s v="10752 Coastwood Rd"/>
    <s v="San Diego, CA 92127"/>
    <n v="92127"/>
    <s v="N"/>
    <n v="33.019955000000003"/>
    <n v="-117.10276500000001"/>
    <s v="Pkg_Lot"/>
    <n v="0.75"/>
    <m/>
    <s v=""/>
    <n v="0.75"/>
    <m/>
    <n v="0"/>
    <n v="72000"/>
    <s v="Pkg_Lot"/>
    <s v="High"/>
    <n v="504000"/>
    <n v="0"/>
    <m/>
    <m/>
    <x v="9"/>
    <n v="1.48"/>
    <n v="9.9"/>
    <x v="2"/>
    <n v="100"/>
  </r>
  <r>
    <s v="Costco Shopping Ctr"/>
    <s v="12350 Carmel Mountain Rd"/>
    <s v="San Diego, CA 92128"/>
    <n v="92128"/>
    <s v="N"/>
    <n v="32.987074"/>
    <n v="-117.077112"/>
    <s v="Shopping"/>
    <n v="1.5"/>
    <m/>
    <s v="Total"/>
    <n v="1.25"/>
    <m/>
    <n v="6"/>
    <m/>
    <m/>
    <m/>
    <n v="0"/>
    <n v="2722000"/>
    <s v="Map resolution is poor; hard to see feeders"/>
    <m/>
    <x v="11"/>
    <n v="1.49"/>
    <n v="9.91"/>
    <x v="4"/>
    <m/>
  </r>
  <r>
    <s v="Costco Main Bldg"/>
    <s v="12350 Carmel Mountain Rd"/>
    <s v="San Diego, CA 92128"/>
    <n v="92128"/>
    <s v="N"/>
    <n v="32.987561999999997"/>
    <n v="-117.078188"/>
    <s v="Roof_Flat"/>
    <n v="0.75"/>
    <m/>
    <s v=""/>
    <n v="0.75"/>
    <m/>
    <n v="0"/>
    <n v="130000"/>
    <s v="Roof_Flat"/>
    <s v="Low"/>
    <n v="650000"/>
    <n v="0"/>
    <s v="Skylights"/>
    <m/>
    <x v="11"/>
    <n v="1.49"/>
    <n v="9.91"/>
    <x v="4"/>
    <n v="0"/>
  </r>
  <r>
    <s v="Costco Pkg Lot 1"/>
    <s v="12350 Carmel Mountain Rd"/>
    <s v="San Diego, CA 92128"/>
    <n v="92128"/>
    <s v="N"/>
    <n v="32.987744999999997"/>
    <n v="-117.07731"/>
    <s v="Pkg_Lot"/>
    <n v="0.75"/>
    <m/>
    <s v=""/>
    <n v="0.75"/>
    <m/>
    <n v="0"/>
    <n v="59000"/>
    <s v="Pkg_Lot"/>
    <s v="High"/>
    <n v="413000"/>
    <n v="0"/>
    <m/>
    <m/>
    <x v="11"/>
    <n v="1.49"/>
    <n v="9.91"/>
    <x v="4"/>
    <n v="200"/>
  </r>
  <r>
    <s v="Costco Pkg Lot 2"/>
    <s v="12350 Carmel Mountain Rd"/>
    <s v="San Diego, CA 92128"/>
    <n v="92128"/>
    <s v="N"/>
    <n v="32.987724999999998"/>
    <n v="-117.076553"/>
    <s v="Pkg_Lot"/>
    <n v="0.75"/>
    <m/>
    <s v=""/>
    <n v="0.75"/>
    <m/>
    <n v="0"/>
    <n v="87000"/>
    <s v="Pkg_Lot"/>
    <s v="High"/>
    <n v="609000"/>
    <n v="0"/>
    <m/>
    <m/>
    <x v="11"/>
    <n v="1.49"/>
    <n v="9.91"/>
    <x v="4"/>
    <n v="100"/>
  </r>
  <r>
    <s v="Costco Pkg Lot 3"/>
    <s v="12350 Carmel Mountain Rd"/>
    <s v="San Diego, CA 92128"/>
    <n v="92128"/>
    <s v="N"/>
    <n v="32.986438999999997"/>
    <n v="-117.076483"/>
    <s v="Pkg_Lot"/>
    <n v="0.75"/>
    <m/>
    <s v=""/>
    <n v="0.75"/>
    <m/>
    <n v="0"/>
    <n v="93000"/>
    <s v="Pkg_Lot"/>
    <s v="High"/>
    <n v="651000"/>
    <n v="0"/>
    <m/>
    <m/>
    <x v="11"/>
    <n v="1.49"/>
    <n v="9.91"/>
    <x v="4"/>
    <n v="0"/>
  </r>
  <r>
    <s v="Costco Pkg Lot 4"/>
    <s v="12350 Carmel Mountain Rd"/>
    <s v="San Diego, CA 92128"/>
    <n v="92128"/>
    <s v="N"/>
    <n v="32.986663999999998"/>
    <n v="-117.077442"/>
    <s v="Pkg_Lot"/>
    <n v="0.75"/>
    <m/>
    <s v=""/>
    <n v="0.75"/>
    <m/>
    <n v="0"/>
    <n v="57000"/>
    <s v="Pkg_Lot"/>
    <s v="High"/>
    <n v="399000"/>
    <n v="0"/>
    <m/>
    <m/>
    <x v="11"/>
    <n v="1.49"/>
    <n v="9.91"/>
    <x v="4"/>
    <n v="0"/>
  </r>
  <r>
    <s v="Priority Moving"/>
    <s v="12270 World Trade Dr"/>
    <s v="San Diego, CA 92128"/>
    <n v="92128"/>
    <s v="N"/>
    <n v="32.988591999999997"/>
    <n v="-117.073291"/>
    <s v="Roof_Flat"/>
    <n v="1"/>
    <m/>
    <s v=""/>
    <n v="1"/>
    <m/>
    <n v="1"/>
    <n v="182000"/>
    <s v="Roof_Flat"/>
    <s v="Medium"/>
    <n v="1092000"/>
    <n v="1092000"/>
    <s v="Skylights"/>
    <m/>
    <x v="12"/>
    <n v="1.4"/>
    <n v="9.33"/>
    <x v="4"/>
    <n v="0"/>
  </r>
  <r>
    <s v="Home Depot"/>
    <s v="12185 Carmel Mountain Rd"/>
    <s v="San Diego, CA 92128"/>
    <n v="92128"/>
    <s v="N"/>
    <n v="32.984135999999999"/>
    <n v="-117.074983"/>
    <s v="Shopping"/>
    <n v="1.5"/>
    <m/>
    <s v="Total"/>
    <n v="1.25"/>
    <m/>
    <n v="4"/>
    <m/>
    <m/>
    <m/>
    <n v="0"/>
    <n v="1707000"/>
    <m/>
    <m/>
    <x v="12"/>
    <n v="1.4"/>
    <n v="9.33"/>
    <x v="4"/>
    <m/>
  </r>
  <r>
    <s v="Home Depot Bldg"/>
    <s v="12185 Carmel Mountain Rd"/>
    <s v="San Diego, CA 92128"/>
    <n v="92128"/>
    <s v="N"/>
    <n v="32.984754000000002"/>
    <n v="-117.074868"/>
    <s v="Roof_Flat"/>
    <n v="0.75"/>
    <m/>
    <s v=""/>
    <n v="0.75"/>
    <m/>
    <n v="0"/>
    <n v="88000"/>
    <s v="Roof_Flat"/>
    <s v="Low"/>
    <n v="440000"/>
    <n v="0"/>
    <s v="Skylights"/>
    <m/>
    <x v="12"/>
    <n v="1.4"/>
    <n v="9.33"/>
    <x v="4"/>
    <n v="200"/>
  </r>
  <r>
    <s v="Home Depot Pkg 1"/>
    <s v="12185 Carmel Mountain Rd"/>
    <s v="San Diego, CA 92128"/>
    <n v="92128"/>
    <s v="N"/>
    <n v="32.983705999999998"/>
    <n v="-117.074816"/>
    <s v="Pkg_Lot"/>
    <n v="0.75"/>
    <m/>
    <s v=""/>
    <n v="0.75"/>
    <m/>
    <n v="0"/>
    <n v="127000"/>
    <s v="Pkg_Lot"/>
    <s v="High"/>
    <n v="889000"/>
    <n v="0"/>
    <m/>
    <m/>
    <x v="12"/>
    <n v="1.4"/>
    <n v="9.33"/>
    <x v="4"/>
    <n v="250"/>
  </r>
  <r>
    <s v="Home Depot Pkg 2"/>
    <s v="12185 Carmel Mountain Rd"/>
    <s v="San Diego, CA 92128"/>
    <n v="92128"/>
    <s v="N"/>
    <n v="32.983007000000001"/>
    <n v="-117.074934"/>
    <s v="Pkg_Lot"/>
    <n v="0.75"/>
    <m/>
    <s v=""/>
    <n v="0.75"/>
    <m/>
    <n v="0"/>
    <n v="54000"/>
    <s v="Pkg_Lot"/>
    <s v="High"/>
    <n v="378000"/>
    <n v="0"/>
    <m/>
    <m/>
    <x v="12"/>
    <n v="1.4"/>
    <n v="9.33"/>
    <x v="4"/>
    <n v="300"/>
  </r>
  <r>
    <s v="Carmel Mtn Plaza"/>
    <s v="11602-12174 Carmel Mountain Rd"/>
    <s v="San Diego, CA 92128"/>
    <n v="92128"/>
    <s v="N"/>
    <n v="32.982061000000002"/>
    <n v="-117.07828000000001"/>
    <s v="Shopping"/>
    <n v="1.5"/>
    <m/>
    <s v="Total"/>
    <n v="1.25"/>
    <m/>
    <n v="13"/>
    <m/>
    <m/>
    <m/>
    <n v="0"/>
    <n v="6153000"/>
    <m/>
    <m/>
    <x v="11"/>
    <n v="1.49"/>
    <n v="9.91"/>
    <x v="4"/>
    <m/>
  </r>
  <r>
    <s v="Sears Outlet"/>
    <s v="11602-12174 Carmel Mountain Rd"/>
    <s v="San Diego, CA 92128"/>
    <n v="92128"/>
    <s v="N"/>
    <n v="32.984904999999998"/>
    <n v="-117.077727"/>
    <s v="Roof_Flat"/>
    <n v="0.75"/>
    <m/>
    <s v=""/>
    <n v="0.75"/>
    <m/>
    <n v="0"/>
    <n v="102000"/>
    <s v="Roof_Flat"/>
    <s v="High"/>
    <n v="714000"/>
    <n v="0"/>
    <m/>
    <m/>
    <x v="11"/>
    <n v="1.49"/>
    <n v="9.91"/>
    <x v="4"/>
    <n v="0"/>
  </r>
  <r>
    <s v="Michaels"/>
    <s v="11602-12174 Carmel Mountain Rd"/>
    <s v="San Diego, CA 92128"/>
    <n v="92128"/>
    <s v="N"/>
    <n v="32.984186000000001"/>
    <n v="-117.07809399999999"/>
    <s v="Roof_Flat"/>
    <n v="0.75"/>
    <m/>
    <s v=""/>
    <n v="0.75"/>
    <m/>
    <n v="0"/>
    <n v="16000"/>
    <s v="Roof_Flat"/>
    <s v="High"/>
    <n v="112000"/>
    <n v="0"/>
    <m/>
    <m/>
    <x v="11"/>
    <n v="1.49"/>
    <n v="9.91"/>
    <x v="4"/>
    <n v="0"/>
  </r>
  <r>
    <s v="Nordstrom Rack"/>
    <s v="11602-12174 Carmel Mountain Rd"/>
    <s v="San Diego, CA 92128"/>
    <n v="92128"/>
    <s v="N"/>
    <n v="32.982700999999999"/>
    <n v="-117.078569"/>
    <s v="Roof_Flat"/>
    <n v="0.75"/>
    <m/>
    <s v=""/>
    <n v="0.75"/>
    <m/>
    <n v="0"/>
    <n v="58000"/>
    <s v="Roof_Flat"/>
    <s v="High"/>
    <n v="406000"/>
    <n v="0"/>
    <m/>
    <m/>
    <x v="11"/>
    <n v="1.49"/>
    <n v="9.91"/>
    <x v="4"/>
    <n v="0"/>
  </r>
  <r>
    <s v="Marshalls_Ross"/>
    <s v="11602-12174 Carmel Mountain Rd"/>
    <s v="San Diego, CA 92128"/>
    <n v="92128"/>
    <s v="N"/>
    <n v="32.981436000000002"/>
    <n v="-117.07931000000001"/>
    <s v="Roof_Flat"/>
    <n v="0.75"/>
    <m/>
    <s v=""/>
    <n v="0.75"/>
    <m/>
    <n v="0"/>
    <n v="48000"/>
    <s v="Roof_Flat"/>
    <s v="High"/>
    <n v="336000"/>
    <n v="0"/>
    <m/>
    <m/>
    <x v="11"/>
    <n v="1.49"/>
    <n v="9.91"/>
    <x v="4"/>
    <n v="0"/>
  </r>
  <r>
    <s v="(former) Sports Authority"/>
    <s v="11602-12174 Carmel Mountain Rd"/>
    <s v="San Diego, CA 92128"/>
    <n v="92128"/>
    <s v="N"/>
    <n v="32.981087000000002"/>
    <n v="-117.080917"/>
    <s v="Roof_Flat"/>
    <n v="0.75"/>
    <m/>
    <s v=""/>
    <n v="0.75"/>
    <m/>
    <n v="0"/>
    <n v="37000"/>
    <s v="Roof_Flat"/>
    <s v="High"/>
    <n v="259000"/>
    <n v="0"/>
    <m/>
    <m/>
    <x v="11"/>
    <n v="1.49"/>
    <n v="9.91"/>
    <x v="4"/>
    <n v="150"/>
  </r>
  <r>
    <s v="Angelika Film Center"/>
    <s v="11602-12174 Carmel Mountain Rd"/>
    <s v="San Diego, CA 92128"/>
    <n v="92128"/>
    <s v="N"/>
    <n v="32.981160000000003"/>
    <n v="-117.082088"/>
    <s v="Roof_Flat"/>
    <n v="0.75"/>
    <m/>
    <s v=""/>
    <n v="0.75"/>
    <m/>
    <n v="0"/>
    <n v="20000"/>
    <s v="Roof_Flat"/>
    <s v="High"/>
    <n v="140000"/>
    <n v="0"/>
    <m/>
    <m/>
    <x v="11"/>
    <n v="1.49"/>
    <n v="9.91"/>
    <x v="4"/>
    <n v="300"/>
  </r>
  <r>
    <s v="Carmel Mtn Plaza Pkg 1"/>
    <s v="11602-12174 Carmel Mountain Rd"/>
    <s v="San Diego, CA 92128"/>
    <n v="92128"/>
    <s v="N"/>
    <n v="32.984411999999999"/>
    <n v="-117.07648399999999"/>
    <s v="Pkg_Lot"/>
    <n v="0.75"/>
    <m/>
    <s v=""/>
    <n v="0.75"/>
    <m/>
    <n v="0"/>
    <n v="152000"/>
    <s v="Pkg_Lot"/>
    <s v="High"/>
    <n v="1064000"/>
    <n v="0"/>
    <m/>
    <m/>
    <x v="11"/>
    <n v="1.49"/>
    <n v="9.91"/>
    <x v="4"/>
    <n v="0"/>
  </r>
  <r>
    <s v="Carmel Mtn Plaza Pkg 2"/>
    <s v="11602-12174 Carmel Mountain Rd"/>
    <s v="San Diego, CA 92128"/>
    <n v="92128"/>
    <s v="N"/>
    <n v="32.983513000000002"/>
    <n v="-117.077786"/>
    <s v="Pkg_Lot"/>
    <n v="0.75"/>
    <m/>
    <s v=""/>
    <n v="0.75"/>
    <m/>
    <n v="0"/>
    <n v="63000"/>
    <s v="Pkg_Lot"/>
    <s v="High"/>
    <n v="441000"/>
    <n v="0"/>
    <m/>
    <m/>
    <x v="11"/>
    <n v="1.49"/>
    <n v="9.91"/>
    <x v="4"/>
    <n v="100"/>
  </r>
  <r>
    <s v="Carmel Mtn Plaza Pkg 3"/>
    <s v="11602-12174 Carmel Mountain Rd"/>
    <s v="San Diego, CA 92128"/>
    <n v="92128"/>
    <s v="N"/>
    <n v="32.982604000000002"/>
    <n v="-117.07741300000001"/>
    <s v="Pkg_Lot"/>
    <n v="0.75"/>
    <m/>
    <s v=""/>
    <n v="0.75"/>
    <m/>
    <n v="0"/>
    <n v="117000"/>
    <s v="Pkg_Lot"/>
    <s v="High"/>
    <n v="819000"/>
    <n v="0"/>
    <m/>
    <m/>
    <x v="11"/>
    <n v="1.49"/>
    <n v="9.91"/>
    <x v="4"/>
    <n v="0"/>
  </r>
  <r>
    <s v="Carmel Mtn Plaza Pkg 4"/>
    <s v="11602-12174 Carmel Mountain Rd"/>
    <s v="San Diego, CA 92128"/>
    <n v="92128"/>
    <s v="N"/>
    <n v="32.981627000000003"/>
    <n v="-117.078473"/>
    <s v="Pkg_Lot"/>
    <n v="0.75"/>
    <m/>
    <s v=""/>
    <n v="0.75"/>
    <m/>
    <n v="0"/>
    <n v="59000"/>
    <s v="Pkg_Lot"/>
    <s v="High"/>
    <n v="413000"/>
    <n v="0"/>
    <m/>
    <m/>
    <x v="11"/>
    <n v="1.49"/>
    <n v="9.91"/>
    <x v="4"/>
    <n v="0"/>
  </r>
  <r>
    <s v="Carmel Mtn Plaza Pkg 5"/>
    <s v="11602-12174 Carmel Mountain Rd"/>
    <s v="San Diego, CA 92128"/>
    <n v="92128"/>
    <s v="N"/>
    <n v="32.980507000000003"/>
    <n v="-117.079842"/>
    <s v="Pkg_Lot"/>
    <n v="0.75"/>
    <m/>
    <s v=""/>
    <n v="0.75"/>
    <m/>
    <n v="0"/>
    <n v="92000"/>
    <s v="Pkg_Lot"/>
    <s v="High"/>
    <n v="644000"/>
    <n v="0"/>
    <m/>
    <m/>
    <x v="11"/>
    <n v="1.49"/>
    <n v="9.91"/>
    <x v="4"/>
    <n v="0"/>
  </r>
  <r>
    <s v="Carmel Mtn Plaza Pkg 6"/>
    <s v="11602-12174 Carmel Mountain Rd"/>
    <s v="San Diego, CA 92128"/>
    <n v="92128"/>
    <s v="N"/>
    <n v="32.980328999999998"/>
    <n v="-117.08126799999999"/>
    <s v="Pkg_Lot"/>
    <n v="0.75"/>
    <m/>
    <s v=""/>
    <n v="0.75"/>
    <m/>
    <n v="0"/>
    <n v="115000"/>
    <s v="Pkg_Lot"/>
    <s v="High"/>
    <n v="805000"/>
    <n v="0"/>
    <m/>
    <m/>
    <x v="11"/>
    <n v="1.49"/>
    <n v="9.91"/>
    <x v="4"/>
    <n v="0"/>
  </r>
  <r>
    <s v="Carmel Mtn Ranch Town Center"/>
    <s v="_x000a_11815 Carmel Mountain Rd"/>
    <s v=" San Diego, CA 92128"/>
    <n v="92128"/>
    <s v="N"/>
    <n v="32.980955000000002"/>
    <n v="-117.075965"/>
    <s v="Shopping"/>
    <n v="1.5"/>
    <m/>
    <s v="Total"/>
    <n v="1.25"/>
    <m/>
    <n v="4"/>
    <m/>
    <m/>
    <m/>
    <n v="0"/>
    <n v="980000"/>
    <m/>
    <m/>
    <x v="12"/>
    <n v="1.4"/>
    <n v="9.33"/>
    <x v="4"/>
    <m/>
  </r>
  <r>
    <s v="Carmel Mtn Ranch Town Ctr Pkg 1"/>
    <s v="_x000a_11815 Carmel Mountain Rd"/>
    <s v=" San Diego, CA 92128"/>
    <n v="92128"/>
    <s v="N"/>
    <n v="32.981889000000002"/>
    <n v="-117.07565099999999"/>
    <s v="Pkg_Lot"/>
    <n v="0.75"/>
    <m/>
    <s v=""/>
    <n v="0.75"/>
    <m/>
    <n v="0"/>
    <n v="47000"/>
    <s v="Pkg_Lot"/>
    <s v="High"/>
    <n v="329000"/>
    <n v="0"/>
    <m/>
    <m/>
    <x v="12"/>
    <n v="1.4"/>
    <n v="9.33"/>
    <x v="4"/>
    <n v="0"/>
  </r>
  <r>
    <s v="Carmel Mtn Ranch Town Ctr Pkg 2"/>
    <s v="_x000a_11815 Carmel Mountain Rd"/>
    <s v=" San Diego, CA 92128"/>
    <n v="92128"/>
    <s v="N"/>
    <n v="32.981171000000003"/>
    <n v="-117.07645100000001"/>
    <s v="Pkg_Lot"/>
    <n v="0.75"/>
    <m/>
    <s v=""/>
    <n v="0.75"/>
    <m/>
    <n v="0"/>
    <n v="46000"/>
    <s v="Pkg_Lot"/>
    <s v="High"/>
    <n v="322000"/>
    <n v="0"/>
    <m/>
    <m/>
    <x v="12"/>
    <n v="1.4"/>
    <n v="9.33"/>
    <x v="4"/>
    <n v="0"/>
  </r>
  <r>
    <s v="Carmel Mtn Ranch Town Ctr Pkg 3"/>
    <s v="_x000a_11815 Carmel Mountain Rd"/>
    <s v=" San Diego, CA 92128"/>
    <n v="92128"/>
    <s v="N"/>
    <n v="32.980398000000001"/>
    <n v="-117.07696799999999"/>
    <s v="Pkg_Lot"/>
    <n v="0.75"/>
    <m/>
    <s v=""/>
    <n v="0.75"/>
    <m/>
    <n v="0"/>
    <n v="47000"/>
    <s v="Pkg_Lot"/>
    <s v="High"/>
    <n v="329000"/>
    <n v="0"/>
    <m/>
    <m/>
    <x v="12"/>
    <n v="1.4"/>
    <n v="9.33"/>
    <x v="4"/>
    <n v="0"/>
  </r>
  <r>
    <s v="Margaret L. Sellers Processing and Distribution Center"/>
    <s v="11251 Rancho Carmel Dr"/>
    <s v="San Diego, CA 92199"/>
    <n v="92199"/>
    <s v="N"/>
    <n v="32.983550999999999"/>
    <n v="-117.079679"/>
    <s v="Storage"/>
    <n v="1.5"/>
    <m/>
    <s v="Total"/>
    <n v="1.25"/>
    <m/>
    <n v="9"/>
    <m/>
    <m/>
    <m/>
    <n v="0"/>
    <n v="5748000"/>
    <m/>
    <m/>
    <x v="13"/>
    <n v="1.38"/>
    <n v="9.23"/>
    <x v="4"/>
    <m/>
  </r>
  <r>
    <s v="MLSellers Bldg 1"/>
    <s v="11251 Rancho Carmel Dr"/>
    <s v="San Diego, CA 92199"/>
    <n v="92199"/>
    <s v="N"/>
    <n v="32.984904999999998"/>
    <n v="-117.078982"/>
    <s v="Roof_Flat"/>
    <n v="0.75"/>
    <m/>
    <s v=""/>
    <n v="0.75"/>
    <m/>
    <n v="0"/>
    <n v="72000"/>
    <s v="Roof_Flat"/>
    <s v="Medium"/>
    <n v="432000"/>
    <n v="0"/>
    <m/>
    <m/>
    <x v="14"/>
    <n v="1.03"/>
    <n v="6.85"/>
    <x v="4"/>
    <n v="0"/>
  </r>
  <r>
    <s v="MLSellers Bldg 2"/>
    <s v="11251 Rancho Carmel Dr"/>
    <s v="San Diego, CA 92199"/>
    <n v="92199"/>
    <s v="N"/>
    <n v="32.984966"/>
    <n v="-117.080443"/>
    <s v="Roof_Flat"/>
    <n v="0.75"/>
    <m/>
    <s v=""/>
    <n v="0.75"/>
    <m/>
    <n v="0"/>
    <n v="65000"/>
    <s v="Roof_Flat"/>
    <s v="High"/>
    <n v="455000"/>
    <n v="0"/>
    <m/>
    <m/>
    <x v="13"/>
    <n v="1.38"/>
    <n v="9.23"/>
    <x v="4"/>
    <n v="0"/>
  </r>
  <r>
    <s v="MLSellers Bldg 3"/>
    <s v="11251 Rancho Carmel Dr"/>
    <s v="San Diego, CA 92199"/>
    <n v="92199"/>
    <s v="N"/>
    <n v="32.984371000000003"/>
    <n v="-117.080838"/>
    <s v="Roof_Flat"/>
    <n v="0.75"/>
    <m/>
    <s v=""/>
    <n v="0.75"/>
    <m/>
    <n v="0"/>
    <n v="141000"/>
    <s v="Roof_Flat"/>
    <s v="Medium"/>
    <n v="846000"/>
    <n v="0"/>
    <m/>
    <m/>
    <x v="13"/>
    <n v="1.38"/>
    <n v="9.23"/>
    <x v="4"/>
    <n v="0"/>
  </r>
  <r>
    <s v="MLSellers Bldg 4"/>
    <s v="11251 Rancho Carmel Dr"/>
    <s v="San Diego, CA 92199"/>
    <n v="92199"/>
    <s v="N"/>
    <n v="32.983722"/>
    <n v="-117.081177"/>
    <s v="Roof_Flat"/>
    <n v="0.75"/>
    <m/>
    <s v=""/>
    <n v="0.75"/>
    <m/>
    <n v="0"/>
    <n v="125000"/>
    <s v="Roof_Flat"/>
    <s v="Medium"/>
    <n v="750000"/>
    <n v="0"/>
    <m/>
    <m/>
    <x v="13"/>
    <n v="1.38"/>
    <n v="9.23"/>
    <x v="4"/>
    <n v="0"/>
  </r>
  <r>
    <s v="MLSellers Bldg 5"/>
    <s v="11251 Rancho Carmel Dr"/>
    <s v="San Diego, CA 92199"/>
    <n v="92199"/>
    <s v="N"/>
    <n v="32.983162"/>
    <n v="-117.08134800000001"/>
    <s v="Roof_Flat"/>
    <n v="0.75"/>
    <m/>
    <s v=""/>
    <n v="0.75"/>
    <m/>
    <n v="0"/>
    <n v="95000"/>
    <s v="Roof_Flat"/>
    <s v="Medium"/>
    <n v="570000"/>
    <n v="0"/>
    <m/>
    <m/>
    <x v="13"/>
    <n v="1.38"/>
    <n v="9.23"/>
    <x v="4"/>
    <n v="0"/>
  </r>
  <r>
    <s v="MLSellers Pkg Lot 1"/>
    <s v="11251 Rancho Carmel Dr"/>
    <s v="San Diego, CA 92199"/>
    <n v="92199"/>
    <s v="N"/>
    <n v="32.986395999999999"/>
    <n v="-117.08005799999999"/>
    <s v="Pkg_Lot"/>
    <n v="0.75"/>
    <m/>
    <s v=""/>
    <n v="0.75"/>
    <m/>
    <n v="0"/>
    <n v="199000"/>
    <s v="Pkg_Lot"/>
    <s v="High"/>
    <n v="1393000"/>
    <n v="0"/>
    <m/>
    <m/>
    <x v="14"/>
    <n v="1.03"/>
    <n v="6.85"/>
    <x v="4"/>
    <n v="100"/>
  </r>
  <r>
    <s v="MLSellers Pkg Lot 2"/>
    <s v="11251 Rancho Carmel Dr"/>
    <s v="San Diego, CA 92199"/>
    <n v="92199"/>
    <s v="N"/>
    <n v="32.985460000000003"/>
    <n v="-117.080699"/>
    <s v="Pkg_Lot"/>
    <n v="0.75"/>
    <m/>
    <s v=""/>
    <n v="0.75"/>
    <m/>
    <n v="0"/>
    <n v="133000"/>
    <s v="Pkg_Lot"/>
    <s v="High"/>
    <n v="931000"/>
    <n v="0"/>
    <m/>
    <m/>
    <x v="14"/>
    <n v="1.03"/>
    <n v="6.85"/>
    <x v="4"/>
    <n v="100"/>
  </r>
  <r>
    <s v="MLSellers Pkg Lot 3"/>
    <s v="11251 Rancho Carmel Dr"/>
    <s v="San Diego, CA 92199"/>
    <n v="92199"/>
    <s v="N"/>
    <n v="32.982441999999999"/>
    <n v="-117.08188699999999"/>
    <s v="Pkg_Lot"/>
    <n v="0.75"/>
    <m/>
    <s v=""/>
    <n v="0.75"/>
    <m/>
    <n v="0"/>
    <n v="53000"/>
    <s v="Pkg_Lot"/>
    <s v="High"/>
    <n v="371000"/>
    <n v="0"/>
    <m/>
    <m/>
    <x v="13"/>
    <n v="1.38"/>
    <n v="9.23"/>
    <x v="4"/>
    <n v="100"/>
  </r>
  <r>
    <s v="Primordial Genetics"/>
    <s v="3550 General Atomics Ct"/>
    <s v="San Diego, CA 92121"/>
    <n v="92121"/>
    <s v="N"/>
    <n v="32.893617999999996"/>
    <n v="-117.234661"/>
    <s v="Biz"/>
    <n v="1.5"/>
    <m/>
    <s v="Total"/>
    <n v="1.25"/>
    <m/>
    <n v="5"/>
    <m/>
    <m/>
    <m/>
    <n v="0"/>
    <n v="1260000"/>
    <m/>
    <m/>
    <x v="15"/>
    <n v="1.5"/>
    <n v="10"/>
    <x v="1"/>
    <m/>
  </r>
  <r>
    <s v="Primordial Gen Bldg"/>
    <s v="3550 General Atomics Ct"/>
    <s v="San Diego, CA 92121"/>
    <n v="92121"/>
    <s v="N"/>
    <n v="32.893605000000001"/>
    <n v="-117.233836"/>
    <s v="Roof_Flat"/>
    <n v="0.75"/>
    <m/>
    <s v=""/>
    <n v="0.75"/>
    <m/>
    <n v="0"/>
    <n v="41000"/>
    <s v="Roof_Flat"/>
    <s v="High"/>
    <n v="287000"/>
    <n v="0"/>
    <s v="3/4 arc"/>
    <m/>
    <x v="15"/>
    <n v="1.5"/>
    <n v="10"/>
    <x v="1"/>
    <n v="0"/>
  </r>
  <r>
    <s v="Primordial Gen Pkg 1"/>
    <s v="3550 General Atomics Ct"/>
    <s v="San Diego, CA 92121"/>
    <n v="92121"/>
    <s v="N"/>
    <n v="32.894838"/>
    <n v="-117.235401"/>
    <s v="Pkg_Lot"/>
    <n v="0.75"/>
    <m/>
    <s v=""/>
    <n v="0.75"/>
    <m/>
    <n v="0"/>
    <n v="32000"/>
    <s v="Pkg_Lot"/>
    <s v="High"/>
    <n v="224000"/>
    <n v="0"/>
    <m/>
    <m/>
    <x v="15"/>
    <n v="1.5"/>
    <n v="10"/>
    <x v="1"/>
    <n v="100"/>
  </r>
  <r>
    <s v="Primordial Gen Pkg 2"/>
    <s v="3550 General Atomics Ct"/>
    <s v="San Diego, CA 92121"/>
    <n v="92121"/>
    <s v="N"/>
    <n v="32.894010000000002"/>
    <n v="-117.233541"/>
    <s v="Pkg_Lot"/>
    <n v="0.75"/>
    <m/>
    <s v=""/>
    <n v="0.75"/>
    <m/>
    <n v="0"/>
    <n v="23000"/>
    <s v="Pkg_Lot"/>
    <s v="High"/>
    <n v="161000"/>
    <n v="0"/>
    <m/>
    <m/>
    <x v="15"/>
    <n v="1.5"/>
    <n v="10"/>
    <x v="1"/>
    <n v="100"/>
  </r>
  <r>
    <s v="Primordial Gen Pkg 3"/>
    <s v="3550 General Atomics Ct"/>
    <s v="San Diego, CA 92121"/>
    <n v="92121"/>
    <s v="N"/>
    <n v="32.892564999999998"/>
    <n v="-117.233935"/>
    <s v="Pkg_Lot"/>
    <n v="0.75"/>
    <m/>
    <s v=""/>
    <n v="0.75"/>
    <m/>
    <n v="0"/>
    <n v="84000"/>
    <s v="Pkg_Lot"/>
    <s v="High"/>
    <n v="588000"/>
    <n v="0"/>
    <m/>
    <m/>
    <x v="15"/>
    <n v="1.5"/>
    <n v="10"/>
    <x v="1"/>
    <n v="0"/>
  </r>
  <r>
    <s v="Qualcomm Bldg AC pkg lot"/>
    <s v="9685 Scranton Rd"/>
    <s v="San Diego, CA 92121"/>
    <n v="92121"/>
    <s v="N"/>
    <n v="32.895989"/>
    <n v="-117.200462"/>
    <s v="Pkg_Lot"/>
    <n v="1"/>
    <m/>
    <s v=""/>
    <n v="1"/>
    <m/>
    <n v="1"/>
    <n v="196000"/>
    <s v="Pkg_Lot"/>
    <s v="High"/>
    <n v="1372000"/>
    <n v="1372000"/>
    <m/>
    <m/>
    <x v="16"/>
    <n v="1.5"/>
    <n v="10"/>
    <x v="5"/>
    <n v="600"/>
  </r>
  <r>
    <s v="Hologic, Inc. Pkg Lot"/>
    <s v="10210 Genetic Center Dr"/>
    <s v="San Diego, CA 92121"/>
    <n v="92121"/>
    <s v="N"/>
    <n v="32.904229000000001"/>
    <n v="-117.184442"/>
    <s v="Pkg_Lot"/>
    <n v="1"/>
    <m/>
    <s v=""/>
    <n v="1"/>
    <m/>
    <n v="1"/>
    <n v="153000"/>
    <s v="Pkg_Lot"/>
    <s v="High"/>
    <n v="1071000"/>
    <n v="1071000"/>
    <m/>
    <m/>
    <x v="17"/>
    <n v="1.41"/>
    <n v="9.3699999999999992"/>
    <x v="6"/>
    <m/>
  </r>
  <r>
    <s v="Fedex Ground"/>
    <s v="9999 Olson Dr"/>
    <s v="San Diego, CA 92121"/>
    <n v="92121"/>
    <s v="N"/>
    <n v="32.886750599999999"/>
    <n v="-117.1957044"/>
    <s v="Roof_Flat"/>
    <n v="1"/>
    <m/>
    <s v=""/>
    <n v="1"/>
    <m/>
    <n v="1"/>
    <n v="200000"/>
    <s v="Roof_Flat"/>
    <s v="Medium"/>
    <n v="1200000"/>
    <n v="1200000"/>
    <m/>
    <m/>
    <x v="18"/>
    <n v="1.49"/>
    <n v="9.91"/>
    <x v="5"/>
    <n v="50"/>
  </r>
  <r>
    <s v="Crest Beverage"/>
    <s v="8870 Liquid Ct"/>
    <s v="San Diego, CA 92121"/>
    <n v="92121"/>
    <s v="N"/>
    <n v="32.884008999999999"/>
    <n v="-117.173579"/>
    <s v="Roof_Flat"/>
    <n v="1"/>
    <m/>
    <s v=""/>
    <n v="1"/>
    <m/>
    <n v="1"/>
    <n v="150000"/>
    <s v="Roof_Flat"/>
    <s v="High"/>
    <n v="1050000"/>
    <n v="1050000"/>
    <m/>
    <m/>
    <x v="19"/>
    <m/>
    <m/>
    <x v="7"/>
    <m/>
  </r>
  <r>
    <s v="AT&amp;amp;T"/>
    <s v="7337 Trade St"/>
    <s v="San Diego, CA 92121"/>
    <n v="92121"/>
    <s v="N"/>
    <n v="32.887611"/>
    <n v="-117.16506"/>
    <s v="Biz"/>
    <n v="1.5"/>
    <m/>
    <s v="Total"/>
    <n v="1.25"/>
    <m/>
    <n v="4"/>
    <m/>
    <m/>
    <m/>
    <n v="0"/>
    <n v="2079000"/>
    <m/>
    <m/>
    <x v="20"/>
    <n v="1.43"/>
    <n v="9.5399999999999991"/>
    <x v="8"/>
    <m/>
  </r>
  <r>
    <s v="AT&amp;amp;T Existing PV"/>
    <s v="7337 Trade St"/>
    <s v="San Diego, CA 92121"/>
    <n v="92121"/>
    <s v="N"/>
    <n v="32.888058000000001"/>
    <n v="-117.165004"/>
    <s v="Target"/>
    <n v="0.75"/>
    <s v="Red"/>
    <s v=""/>
    <n v="0.75"/>
    <m/>
    <n v="0"/>
    <m/>
    <s v="Existing"/>
    <m/>
    <n v="0"/>
    <n v="0"/>
    <m/>
    <m/>
    <x v="20"/>
    <n v="1.43"/>
    <n v="9.5399999999999991"/>
    <x v="8"/>
    <n v="150"/>
  </r>
  <r>
    <s v="AT&amp;amp;T Pkg 1"/>
    <s v="7337 Trade St"/>
    <s v="San Diego, CA 92121"/>
    <n v="92121"/>
    <s v="N"/>
    <n v="32.887987000000003"/>
    <n v="-117.166597"/>
    <s v="Roof_Flat"/>
    <n v="0.75"/>
    <m/>
    <s v=""/>
    <n v="0.75"/>
    <m/>
    <n v="0"/>
    <n v="80000"/>
    <s v="Pkg_Lot"/>
    <s v="High"/>
    <n v="560000"/>
    <n v="0"/>
    <m/>
    <m/>
    <x v="20"/>
    <n v="1.43"/>
    <n v="9.5399999999999991"/>
    <x v="8"/>
    <n v="150"/>
  </r>
  <r>
    <s v="AT&amp;amp;T Pkg 2"/>
    <s v="7337 Trade St"/>
    <s v="San Diego, CA 92121"/>
    <n v="92121"/>
    <s v="N"/>
    <n v="32.888041999999999"/>
    <n v="-117.162898"/>
    <s v="Roof_Flat"/>
    <n v="0.75"/>
    <m/>
    <s v=""/>
    <n v="0.75"/>
    <m/>
    <n v="0"/>
    <n v="217000"/>
    <s v="Pkg_Lot"/>
    <s v="High"/>
    <n v="1519000"/>
    <n v="0"/>
    <m/>
    <m/>
    <x v="20"/>
    <n v="1.43"/>
    <n v="9.5399999999999991"/>
    <x v="8"/>
    <n v="150"/>
  </r>
  <r>
    <s v="Miramar Office_EBBradley"/>
    <s v="9586 Distribution Ave"/>
    <s v="San Diego, CA 92121"/>
    <n v="92121"/>
    <s v="N"/>
    <n v="32.881874000000003"/>
    <n v="-117.163808"/>
    <s v="Biz"/>
    <n v="1.5"/>
    <m/>
    <s v="Total"/>
    <n v="1.25"/>
    <m/>
    <n v="5"/>
    <m/>
    <m/>
    <m/>
    <n v="0"/>
    <n v="1001000"/>
    <s v="Skylights"/>
    <m/>
    <x v="21"/>
    <n v="1.48"/>
    <n v="9.84"/>
    <x v="8"/>
    <m/>
  </r>
  <r>
    <s v="E.B. Bradley"/>
    <s v="9586 Distribution Ave"/>
    <s v="San Diego, CA 92121"/>
    <n v="92121"/>
    <s v="N"/>
    <n v="32.882720999999997"/>
    <n v="-117.164205"/>
    <s v="Roof_Flat"/>
    <n v="0.75"/>
    <m/>
    <s v=""/>
    <n v="0.75"/>
    <m/>
    <n v="0"/>
    <n v="42000"/>
    <s v="Roof_Flat"/>
    <s v="High"/>
    <n v="294000"/>
    <n v="0"/>
    <m/>
    <m/>
    <x v="21"/>
    <n v="1.48"/>
    <n v="9.84"/>
    <x v="8"/>
    <n v="100"/>
  </r>
  <r>
    <s v="AAA Packaging"/>
    <s v="9586 Distribution Ave"/>
    <s v="San Diego, CA 92121"/>
    <n v="92121"/>
    <s v="N"/>
    <n v="32.882109"/>
    <n v="-117.164219"/>
    <s v="Roof_Flat"/>
    <n v="0.75"/>
    <m/>
    <s v=""/>
    <n v="0.75"/>
    <m/>
    <n v="0"/>
    <n v="33000"/>
    <s v="Roof_Flat"/>
    <s v="High"/>
    <n v="231000"/>
    <n v="0"/>
    <m/>
    <m/>
    <x v="21"/>
    <n v="1.48"/>
    <n v="9.84"/>
    <x v="8"/>
    <n v="100"/>
  </r>
  <r>
    <s v="Champion Rhythmics"/>
    <s v="9586 Distribution Ave"/>
    <s v="San Diego, CA 92121"/>
    <n v="92121"/>
    <s v="N"/>
    <n v="32.881568999999999"/>
    <n v="-117.164219"/>
    <s v="Roof_Flat"/>
    <n v="0.75"/>
    <m/>
    <s v=""/>
    <n v="0.75"/>
    <m/>
    <n v="0"/>
    <n v="33000"/>
    <s v="Roof_Flat"/>
    <s v="High"/>
    <n v="231000"/>
    <n v="0"/>
    <m/>
    <m/>
    <x v="21"/>
    <n v="1.48"/>
    <n v="9.84"/>
    <x v="8"/>
    <n v="100"/>
  </r>
  <r>
    <s v="Miramar Office Furniture"/>
    <s v="9586 Distribution Ave"/>
    <s v="San Diego, CA 92121"/>
    <n v="92121"/>
    <s v="N"/>
    <n v="32.881036999999999"/>
    <n v="-117.164112"/>
    <s v="Roof_Flat"/>
    <n v="0.75"/>
    <m/>
    <s v=""/>
    <n v="0.75"/>
    <m/>
    <n v="0"/>
    <n v="35000"/>
    <s v="Roof_Flat"/>
    <s v="High"/>
    <n v="245000"/>
    <n v="0"/>
    <m/>
    <m/>
    <x v="21"/>
    <n v="1.48"/>
    <n v="9.84"/>
    <x v="8"/>
    <n v="100"/>
  </r>
  <r>
    <s v="Arris Group"/>
    <s v="6450 Sequence Dr"/>
    <s v="San Diego, CA 92121"/>
    <n v="92121"/>
    <s v="N"/>
    <n v="32.909730000000003"/>
    <n v="-117.181293"/>
    <s v="Biz"/>
    <n v="1.5"/>
    <m/>
    <s v="Total"/>
    <n v="1.25"/>
    <m/>
    <n v="5"/>
    <m/>
    <m/>
    <m/>
    <n v="0"/>
    <n v="2499000"/>
    <m/>
    <m/>
    <x v="22"/>
    <n v="1.49"/>
    <n v="9.93"/>
    <x v="9"/>
    <m/>
  </r>
  <r>
    <s v="Arris Group Bldg"/>
    <s v="6450 Sequence Dr"/>
    <s v="San Diego, CA 92121"/>
    <n v="92121"/>
    <s v="N"/>
    <n v="32.909084999999997"/>
    <n v="-117.18083"/>
    <s v="Roof_Flat"/>
    <n v="0.75"/>
    <m/>
    <s v=""/>
    <n v="0.75"/>
    <m/>
    <n v="0"/>
    <n v="32000"/>
    <s v="Roof_Flat"/>
    <s v="High"/>
    <n v="224000"/>
    <n v="0"/>
    <m/>
    <m/>
    <x v="22"/>
    <n v="1.49"/>
    <n v="9.93"/>
    <x v="9"/>
    <n v="300"/>
  </r>
  <r>
    <s v="Arris Group Pkg 1"/>
    <s v="6450 Sequence Dr"/>
    <s v="San Diego, CA 92121"/>
    <n v="92121"/>
    <s v="N"/>
    <n v="32.908036000000003"/>
    <n v="-117.180043"/>
    <s v="Pkg_Lot"/>
    <n v="0.75"/>
    <m/>
    <s v=""/>
    <n v="0.75"/>
    <m/>
    <n v="0"/>
    <n v="178000"/>
    <s v="Pkg_Lot"/>
    <s v="High"/>
    <n v="1246000"/>
    <n v="0"/>
    <m/>
    <m/>
    <x v="22"/>
    <n v="1.49"/>
    <n v="9.93"/>
    <x v="9"/>
    <n v="0"/>
  </r>
  <r>
    <s v="Arris Group Pkg 2"/>
    <s v="6450 Sequence Dr"/>
    <s v="San Diego, CA 92121"/>
    <n v="92121"/>
    <s v="N"/>
    <n v="32.908580999999998"/>
    <n v="-117.182044"/>
    <s v="Pkg_Lot"/>
    <n v="0.75"/>
    <m/>
    <s v=""/>
    <n v="0.75"/>
    <m/>
    <n v="0"/>
    <n v="93000"/>
    <s v="Pkg_Lot"/>
    <s v="High"/>
    <n v="651000"/>
    <n v="0"/>
    <m/>
    <m/>
    <x v="22"/>
    <n v="1.49"/>
    <n v="9.93"/>
    <x v="9"/>
    <n v="50"/>
  </r>
  <r>
    <s v="Arris Group Pkg 3"/>
    <s v="6450 Sequence Dr"/>
    <s v="San Diego, CA 92121"/>
    <n v="92121"/>
    <s v="N"/>
    <n v="32.909103999999999"/>
    <n v="-117.183143"/>
    <s v="Pkg_Lot"/>
    <n v="0.75"/>
    <m/>
    <s v=""/>
    <n v="0.75"/>
    <m/>
    <n v="0"/>
    <n v="54000"/>
    <s v="Pkg_Lot"/>
    <s v="High"/>
    <n v="378000"/>
    <n v="0"/>
    <m/>
    <m/>
    <x v="22"/>
    <n v="1.49"/>
    <n v="9.93"/>
    <x v="9"/>
    <n v="0"/>
  </r>
  <r>
    <s v="OSC Solutions"/>
    <s v="8221 Arjons Dr"/>
    <s v="San Diego, CA 92126"/>
    <n v="92126"/>
    <s v="N"/>
    <n v="32.893228999999998"/>
    <n v="-117.142343"/>
    <s v="Roof_Flat"/>
    <n v="1"/>
    <m/>
    <s v=""/>
    <n v="1"/>
    <m/>
    <n v="1"/>
    <n v="130000"/>
    <s v="Roof_Flat"/>
    <s v="High"/>
    <n v="910000"/>
    <n v="910000"/>
    <s v="Skylights"/>
    <m/>
    <x v="23"/>
    <n v="1.37"/>
    <n v="9.1"/>
    <x v="8"/>
    <n v="0"/>
  </r>
  <r>
    <s v="Mira Mesa Mall"/>
    <s v="8110 - 8340 Camino Ruiz"/>
    <s v=" San Diego, CA 92126"/>
    <n v="92126"/>
    <s v="N"/>
    <n v="32.912466999999999"/>
    <n v="-117.14755"/>
    <s v="Shopping"/>
    <n v="1.5"/>
    <m/>
    <s v="Total"/>
    <n v="1.25"/>
    <m/>
    <n v="8"/>
    <m/>
    <m/>
    <m/>
    <n v="0"/>
    <n v="3279000"/>
    <m/>
    <m/>
    <x v="24"/>
    <n v="1.42"/>
    <n v="9.4600000000000009"/>
    <x v="8"/>
    <m/>
  </r>
  <r>
    <s v="BB&amp;amp;B_Marshalls"/>
    <s v="8110 - 8340 Camino Ruiz"/>
    <s v=" San Diego, CA 92126"/>
    <n v="92126"/>
    <s v="N"/>
    <n v="32.914459999999998"/>
    <n v="-117.147965"/>
    <s v="Roof_Flat"/>
    <n v="0.75"/>
    <m/>
    <s v=""/>
    <n v="0.75"/>
    <m/>
    <n v="0"/>
    <n v="123000"/>
    <s v="Roof_Flat"/>
    <s v="Medium"/>
    <n v="738000"/>
    <n v="0"/>
    <s v="Vents"/>
    <m/>
    <x v="24"/>
    <n v="1.42"/>
    <n v="9.4600000000000009"/>
    <x v="8"/>
    <n v="300"/>
  </r>
  <r>
    <s v="Mira Mesa Mall Pkg 1"/>
    <s v="8110 - 8340 Camino Ruiz"/>
    <s v=" San Diego, CA 92126"/>
    <n v="92126"/>
    <s v="N"/>
    <n v="32.915224000000002"/>
    <n v="-117.148225"/>
    <s v="Pkg_Lot"/>
    <n v="0.75"/>
    <m/>
    <s v=""/>
    <n v="0.75"/>
    <m/>
    <n v="0"/>
    <n v="44000"/>
    <s v="Pkg_Lot"/>
    <s v="High"/>
    <n v="308000"/>
    <n v="0"/>
    <m/>
    <m/>
    <x v="24"/>
    <n v="1.42"/>
    <n v="9.4600000000000009"/>
    <x v="8"/>
    <n v="0"/>
  </r>
  <r>
    <s v="Mira Mesa Lanes"/>
    <s v="8110 - 8340 Camino Ruiz"/>
    <s v=" San Diego, CA 92126"/>
    <n v="92126"/>
    <s v="N"/>
    <n v="32.915328000000002"/>
    <n v="-117.147128"/>
    <s v="Roof_Flat"/>
    <n v="0.75"/>
    <m/>
    <s v=""/>
    <n v="0.75"/>
    <m/>
    <n v="0"/>
    <n v="23000"/>
    <s v="Roof_Flat"/>
    <s v="High"/>
    <n v="161000"/>
    <n v="0"/>
    <m/>
    <m/>
    <x v="24"/>
    <n v="1.42"/>
    <n v="9.4600000000000009"/>
    <x v="8"/>
    <n v="0"/>
  </r>
  <r>
    <s v="Mira Mesa Mall Pkg 2"/>
    <s v="8110 - 8340 Camino Ruiz"/>
    <s v=" San Diego, CA 92126"/>
    <n v="92126"/>
    <s v="N"/>
    <n v="32.913643"/>
    <n v="-117.148557"/>
    <s v="Pkg_Lot"/>
    <n v="0.75"/>
    <m/>
    <s v=""/>
    <n v="0.75"/>
    <m/>
    <n v="0"/>
    <n v="94000"/>
    <s v="Pkg_Lot"/>
    <s v="High"/>
    <n v="658000"/>
    <n v="0"/>
    <m/>
    <m/>
    <x v="24"/>
    <n v="1.42"/>
    <n v="9.4600000000000009"/>
    <x v="8"/>
    <n v="50"/>
  </r>
  <r>
    <s v="Mira Mesa Mall Pkg 3"/>
    <s v="8110 - 8340 Camino Ruiz"/>
    <s v=" San Diego, CA 92126"/>
    <n v="92126"/>
    <s v="N"/>
    <n v="32.913620000000002"/>
    <n v="-117.14745600000001"/>
    <s v="Pkg_Lot"/>
    <n v="0.75"/>
    <m/>
    <s v=""/>
    <n v="0.75"/>
    <m/>
    <n v="0"/>
    <n v="79000"/>
    <s v="Pkg_Lot"/>
    <s v="High"/>
    <n v="553000"/>
    <n v="0"/>
    <m/>
    <m/>
    <x v="24"/>
    <n v="1.42"/>
    <n v="9.4600000000000009"/>
    <x v="8"/>
    <n v="400"/>
  </r>
  <r>
    <s v="Mira Mesa Mall Pkg 4"/>
    <s v="8110 - 8340 Camino Ruiz"/>
    <s v=" San Diego, CA 92126"/>
    <n v="92126"/>
    <s v="N"/>
    <n v="32.914648"/>
    <n v="-117.145079"/>
    <s v="Pkg_Lot"/>
    <n v="0.75"/>
    <m/>
    <s v=""/>
    <n v="0.75"/>
    <m/>
    <n v="0"/>
    <n v="66000"/>
    <s v="Pkg_Lot"/>
    <s v="High"/>
    <n v="462000"/>
    <n v="0"/>
    <m/>
    <m/>
    <x v="24"/>
    <n v="1.42"/>
    <n v="9.4600000000000009"/>
    <x v="8"/>
    <n v="0"/>
  </r>
  <r>
    <s v="Mira Mesa Mall Pkg 5"/>
    <s v="8110 - 8340 Camino Ruiz"/>
    <s v=" San Diego, CA 92126"/>
    <n v="92126"/>
    <s v="N"/>
    <n v="32.913980000000002"/>
    <n v="-117.14528"/>
    <s v="Pkg_Lot"/>
    <n v="0.75"/>
    <m/>
    <s v=""/>
    <n v="0.75"/>
    <m/>
    <n v="0"/>
    <n v="57000"/>
    <s v="Pkg_Lot"/>
    <s v="High"/>
    <n v="399000"/>
    <n v="0"/>
    <m/>
    <m/>
    <x v="24"/>
    <n v="1.42"/>
    <n v="9.4600000000000009"/>
    <x v="8"/>
    <n v="50"/>
  </r>
  <r>
    <s v="Scripps Ranch Marketplace"/>
    <s v="1055 Scripps Poway Pkwy"/>
    <s v="San Diego, CA 92131"/>
    <n v="92131"/>
    <s v="N"/>
    <n v="32.936701999999997"/>
    <n v="-117.099847"/>
    <s v="Shopping"/>
    <n v="1.5"/>
    <m/>
    <s v="Total"/>
    <n v="1.25"/>
    <m/>
    <n v="3"/>
    <m/>
    <m/>
    <m/>
    <n v="0"/>
    <n v="1778000"/>
    <m/>
    <m/>
    <x v="25"/>
    <n v="1.36"/>
    <n v="9.07"/>
    <x v="10"/>
    <m/>
  </r>
  <r>
    <s v="Scripps Ranch Mkt Pkg Lot"/>
    <s v="1055 Scripps Poway Pkwy"/>
    <s v="San Diego, CA 92131"/>
    <n v="92131"/>
    <s v="N"/>
    <n v="32.936083000000004"/>
    <n v="-117.099523"/>
    <s v="Pkg_Lot"/>
    <n v="0.75"/>
    <m/>
    <s v=""/>
    <n v="0.75"/>
    <m/>
    <n v="0"/>
    <n v="215000"/>
    <s v="Pkg_Lot"/>
    <s v="High"/>
    <n v="1505000"/>
    <n v="0"/>
    <m/>
    <m/>
    <x v="25"/>
    <n v="1.36"/>
    <n v="9.07"/>
    <x v="10"/>
    <n v="100"/>
  </r>
  <r>
    <s v="Scripps Ranch Mkt Vons"/>
    <s v="1055 Scripps Poway Pkwy"/>
    <s v="San Diego, CA 92131"/>
    <n v="92131"/>
    <s v="N"/>
    <n v="32.935330999999998"/>
    <n v="-117.09877299999999"/>
    <s v="Roof_Flat"/>
    <n v="0.75"/>
    <m/>
    <s v=""/>
    <n v="0.75"/>
    <m/>
    <n v="0"/>
    <n v="39000"/>
    <s v="Roof_Flat"/>
    <s v="High"/>
    <n v="273000"/>
    <n v="0"/>
    <m/>
    <m/>
    <x v="25"/>
    <n v="1.36"/>
    <n v="9.07"/>
    <x v="10"/>
    <n v="100"/>
  </r>
  <r>
    <s v="Mira Mesa Market Ctr"/>
    <s v="10604 Westview Pkwy"/>
    <s v="San Diego, CA 92126"/>
    <n v="92126"/>
    <s v="N"/>
    <n v="32.915270999999997"/>
    <n v="-117.120676"/>
    <s v="Shopping"/>
    <n v="1.5"/>
    <m/>
    <s v="Total"/>
    <n v="1.25"/>
    <m/>
    <n v="13"/>
    <m/>
    <m/>
    <m/>
    <n v="0"/>
    <n v="5457000"/>
    <s v="multiple substations (484 and 435); different parkin structures not labeled"/>
    <m/>
    <x v="26"/>
    <n v="1.21"/>
    <n v="8.0500000000000007"/>
    <x v="10"/>
    <m/>
  </r>
  <r>
    <s v="Mira Mesa Mkt Ctr Pkg 1"/>
    <s v="10604 Westview Pkwy"/>
    <s v="San Diego, CA 92126"/>
    <n v="92126"/>
    <s v="N"/>
    <n v="32.916468999999999"/>
    <n v="-117.12154200000001"/>
    <s v="Pkg_Lot"/>
    <n v="0.75"/>
    <m/>
    <s v=""/>
    <n v="0.75"/>
    <m/>
    <n v="0"/>
    <n v="74000"/>
    <s v="Pkg_Lot"/>
    <s v="High"/>
    <n v="518000"/>
    <n v="0"/>
    <m/>
    <m/>
    <x v="27"/>
    <n v="1.31"/>
    <n v="8.76"/>
    <x v="10"/>
    <n v="50"/>
  </r>
  <r>
    <s v="Mira Mesa Mkt Ctr Pkg 2"/>
    <s v="10604 Westview Pkwy"/>
    <s v="San Diego, CA 92126"/>
    <n v="92126"/>
    <s v="N"/>
    <n v="32.915526999999997"/>
    <n v="-117.121342"/>
    <s v="Pkg_Lot"/>
    <n v="0.75"/>
    <m/>
    <s v=""/>
    <n v="0.75"/>
    <m/>
    <n v="0"/>
    <n v="67000"/>
    <s v="Pkg_Lot"/>
    <s v="High"/>
    <n v="469000"/>
    <n v="0"/>
    <m/>
    <m/>
    <x v="27"/>
    <n v="1.31"/>
    <n v="8.76"/>
    <x v="10"/>
    <n v="200"/>
  </r>
  <r>
    <s v="Mira Mesa Mkt Ctr Pkg 3"/>
    <s v="10604 Westview Pkwy"/>
    <s v="San Diego, CA 92126"/>
    <n v="92126"/>
    <s v="N"/>
    <n v="32.914425999999999"/>
    <n v="-117.12153600000001"/>
    <s v="Pkg_Lot"/>
    <n v="0.75"/>
    <m/>
    <s v=""/>
    <n v="0.75"/>
    <m/>
    <n v="0"/>
    <n v="152000"/>
    <s v="Pkg_Lot"/>
    <s v="High"/>
    <n v="1064000"/>
    <n v="0"/>
    <m/>
    <m/>
    <x v="27"/>
    <n v="1.31"/>
    <n v="8.76"/>
    <x v="10"/>
    <n v="50"/>
  </r>
  <r>
    <s v="Albertsons"/>
    <s v="10604 Westview Pkwy"/>
    <s v="San Diego, CA 92126"/>
    <n v="92126"/>
    <s v="N"/>
    <n v="32.915413000000001"/>
    <n v="-117.122179"/>
    <s v="Roof_Flat"/>
    <n v="0.75"/>
    <m/>
    <s v=""/>
    <n v="0.75"/>
    <m/>
    <n v="0"/>
    <n v="32000"/>
    <s v="Roof_Flat"/>
    <s v="Medium"/>
    <n v="192000"/>
    <n v="0"/>
    <s v="Skylights"/>
    <m/>
    <x v="26"/>
    <n v="1.21"/>
    <n v="8.0500000000000007"/>
    <x v="10"/>
    <n v="50"/>
  </r>
  <r>
    <s v="Home Depot"/>
    <s v="10604 Westview Pkwy"/>
    <s v="San Diego, CA 92126"/>
    <n v="92126"/>
    <s v="N"/>
    <n v="32.913446999999998"/>
    <n v="-117.12151900000001"/>
    <s v="Roof_Flat"/>
    <n v="0.75"/>
    <m/>
    <s v=""/>
    <n v="0.75"/>
    <m/>
    <n v="0"/>
    <n v="101000"/>
    <s v="Roof_Flat"/>
    <s v="Low"/>
    <n v="505000"/>
    <n v="0"/>
    <s v="Skylights"/>
    <m/>
    <x v="26"/>
    <n v="1.21"/>
    <n v="8.0500000000000007"/>
    <x v="10"/>
    <n v="0"/>
  </r>
  <r>
    <s v="Mira Mesa Mkt Ctr Pkg 4"/>
    <s v="10604 Westview Pkwy"/>
    <s v="San Diego, CA 92126"/>
    <n v="92126"/>
    <s v="N"/>
    <n v="32.915785999999997"/>
    <n v="-117.120142"/>
    <s v="Pkg_Lot"/>
    <n v="0.75"/>
    <m/>
    <s v=""/>
    <n v="0.75"/>
    <m/>
    <n v="0"/>
    <n v="91000"/>
    <s v="Pkg_Lot"/>
    <s v="High"/>
    <n v="637000"/>
    <n v="0"/>
    <m/>
    <m/>
    <x v="27"/>
    <n v="1.31"/>
    <n v="8.76"/>
    <x v="10"/>
    <n v="0"/>
  </r>
  <r>
    <s v="Mira Mesa Mkt Ctr Pkg 5"/>
    <s v="10604 Westview Pkwy"/>
    <s v="San Diego, CA 92126"/>
    <n v="92126"/>
    <s v="N"/>
    <n v="32.915736000000003"/>
    <n v="-117.119409"/>
    <s v="Pkg_Lot"/>
    <n v="0.75"/>
    <m/>
    <s v=""/>
    <n v="0.75"/>
    <m/>
    <n v="0"/>
    <n v="124000"/>
    <s v="Pkg_Lot"/>
    <s v="High"/>
    <n v="868000"/>
    <n v="0"/>
    <m/>
    <m/>
    <x v="27"/>
    <n v="1.31"/>
    <n v="8.76"/>
    <x v="10"/>
    <n v="200"/>
  </r>
  <r>
    <s v="Mira Mesa Mkt Ctr Pkg 6"/>
    <s v="10604 Westview Pkwy"/>
    <s v="San Diego, CA 92126"/>
    <n v="92126"/>
    <s v="N"/>
    <n v="32.915571"/>
    <n v="-117.11844600000001"/>
    <s v="Pkg_Lot"/>
    <n v="0.75"/>
    <m/>
    <s v=""/>
    <n v="0.75"/>
    <m/>
    <n v="0"/>
    <n v="36000"/>
    <s v="Pkg_Lot"/>
    <s v="High"/>
    <n v="252000"/>
    <n v="0"/>
    <m/>
    <m/>
    <x v="27"/>
    <n v="1.31"/>
    <n v="8.76"/>
    <x v="10"/>
    <n v="500"/>
  </r>
  <r>
    <s v="Mira Mesa Mkt Ctr Pkg 7"/>
    <s v="10604 Westview Pkwy"/>
    <s v="San Diego, CA 92126"/>
    <n v="92126"/>
    <s v="N"/>
    <n v="32.916262000000003"/>
    <n v="-117.117873"/>
    <s v="Pkg_Lot"/>
    <n v="0.75"/>
    <m/>
    <s v=""/>
    <n v="0.75"/>
    <m/>
    <n v="0"/>
    <n v="63000"/>
    <s v="Pkg_Lot"/>
    <s v="High"/>
    <n v="441000"/>
    <n v="0"/>
    <m/>
    <m/>
    <x v="27"/>
    <n v="1.31"/>
    <n v="8.76"/>
    <x v="10"/>
    <n v="300"/>
  </r>
  <r>
    <s v="Mira Mesa Mkt Ctr Pkg 8"/>
    <s v="10604 Westview Pkwy"/>
    <s v="San Diego, CA 92126"/>
    <n v="92126"/>
    <s v="N"/>
    <n v="32.914096999999998"/>
    <n v="-117.11763000000001"/>
    <s v="Pkg_Lot"/>
    <n v="0.75"/>
    <m/>
    <s v=""/>
    <n v="0.75"/>
    <m/>
    <n v="0"/>
    <n v="37000"/>
    <s v="Pkg_Lot"/>
    <s v="High"/>
    <n v="259000"/>
    <n v="0"/>
    <m/>
    <m/>
    <x v="27"/>
    <n v="1.31"/>
    <n v="8.76"/>
    <x v="10"/>
    <n v="150"/>
  </r>
  <r>
    <s v="Ross"/>
    <s v="10604 Westview Pkwy"/>
    <s v="San Diego, CA 92126"/>
    <n v="92126"/>
    <s v="N"/>
    <n v="32.914580999999998"/>
    <n v="-117.12003900000001"/>
    <s v="Roof_Flat"/>
    <n v="0.75"/>
    <m/>
    <s v=""/>
    <n v="0.75"/>
    <m/>
    <n v="0"/>
    <n v="24000"/>
    <s v="Roof_Flat"/>
    <s v="Medium"/>
    <n v="144000"/>
    <n v="0"/>
    <s v="Vents"/>
    <m/>
    <x v="27"/>
    <n v="1.31"/>
    <n v="8.76"/>
    <x v="10"/>
    <n v="50"/>
  </r>
  <r>
    <s v="Barnes &amp;amp; Noble"/>
    <s v="10604 Westview Pkwy"/>
    <s v="San Diego, CA 92126"/>
    <n v="92126"/>
    <s v="N"/>
    <n v="32.916536000000001"/>
    <n v="-117.11944699999999"/>
    <s v="Roof_Flat"/>
    <n v="0.75"/>
    <m/>
    <s v=""/>
    <n v="0.75"/>
    <m/>
    <n v="0"/>
    <n v="18000"/>
    <s v="Roof_Flat"/>
    <s v="Medium"/>
    <n v="108000"/>
    <n v="0"/>
    <s v="Vents"/>
    <m/>
    <x v="27"/>
    <n v="1.1000000000000001"/>
    <n v="8.76"/>
    <x v="10"/>
    <n v="0"/>
  </r>
  <r>
    <s v="San Diego Miramar College"/>
    <s v="10440 Black Mountain Rd"/>
    <s v="San Diego, CA 92126"/>
    <n v="92126"/>
    <s v="N"/>
    <n v="32.910491"/>
    <n v="-117.121009"/>
    <s v="Edu"/>
    <n v="1.5"/>
    <m/>
    <s v="Total"/>
    <n v="1.25"/>
    <m/>
    <n v="5"/>
    <m/>
    <m/>
    <m/>
    <n v="0"/>
    <n v="2436000"/>
    <m/>
    <m/>
    <x v="26"/>
    <n v="1.21"/>
    <n v="8.0500000000000007"/>
    <x v="10"/>
    <m/>
  </r>
  <r>
    <s v="SDMC Pkg 1"/>
    <s v="10440 Black Mountain Rd"/>
    <s v="San Diego, CA 92126"/>
    <n v="92126"/>
    <s v="N"/>
    <n v="32.910105000000001"/>
    <n v="-117.123723"/>
    <s v="Target"/>
    <n v="0.75"/>
    <s v="Red"/>
    <s v=""/>
    <n v="0.75"/>
    <m/>
    <n v="0"/>
    <m/>
    <s v="Existing"/>
    <m/>
    <n v="0"/>
    <n v="0"/>
    <m/>
    <m/>
    <x v="26"/>
    <n v="1.21"/>
    <n v="8.0500000000000007"/>
    <x v="10"/>
    <n v="100"/>
  </r>
  <r>
    <s v="SDMC Pkg 2"/>
    <s v="10440 Black Mountain Rd"/>
    <s v="San Diego, CA 92126"/>
    <n v="92126"/>
    <s v="N"/>
    <n v="32.910103999999997"/>
    <n v="-117.122426"/>
    <s v="Pkg_Lot"/>
    <n v="0.75"/>
    <m/>
    <s v=""/>
    <n v="0.75"/>
    <m/>
    <n v="0"/>
    <n v="110000"/>
    <s v="Pkg_Lot"/>
    <s v="High"/>
    <n v="770000"/>
    <n v="0"/>
    <m/>
    <m/>
    <x v="26"/>
    <n v="1.21"/>
    <n v="8.0500000000000007"/>
    <x v="10"/>
    <n v="550"/>
  </r>
  <r>
    <s v="SDMC Pkg 3"/>
    <s v="10440 Black Mountain Rd"/>
    <s v="San Diego, CA 92126"/>
    <n v="92126"/>
    <s v="N"/>
    <n v="32.908898000000001"/>
    <n v="-117.12259"/>
    <s v="Pkg_Lot"/>
    <n v="0.75"/>
    <m/>
    <s v=""/>
    <n v="0.75"/>
    <m/>
    <n v="0"/>
    <n v="167000"/>
    <s v="Pkg_Lot"/>
    <s v="High"/>
    <n v="1169000"/>
    <n v="0"/>
    <m/>
    <m/>
    <x v="26"/>
    <n v="1.21"/>
    <n v="8.0500000000000007"/>
    <x v="10"/>
    <n v="550"/>
  </r>
  <r>
    <s v="SDMC Pkg 4"/>
    <s v="10440 Black Mountain Rd"/>
    <s v="San Diego, CA 92126"/>
    <n v="92126"/>
    <s v="N"/>
    <n v="32.911361999999997"/>
    <n v="-117.11878"/>
    <s v="Pkg_Garage"/>
    <n v="0.75"/>
    <m/>
    <s v=""/>
    <n v="0.75"/>
    <m/>
    <n v="0"/>
    <n v="71000"/>
    <s v="Pkg_Garage"/>
    <s v="High"/>
    <n v="497000"/>
    <n v="0"/>
    <m/>
    <m/>
    <x v="26"/>
    <n v="1.21"/>
    <n v="8.0500000000000007"/>
    <x v="10"/>
    <n v="200"/>
  </r>
  <r>
    <s v="MCAS Miramar"/>
    <s v="Miramar Way"/>
    <s v="San Diego, CA 92145"/>
    <n v="92145"/>
    <s v="N"/>
    <n v="32.869931000000001"/>
    <n v="-117.13886599999999"/>
    <s v="Airport"/>
    <n v="1.5"/>
    <m/>
    <s v="Total"/>
    <n v="1.25"/>
    <m/>
    <n v="117"/>
    <m/>
    <m/>
    <m/>
    <n v="0"/>
    <n v="48236200"/>
    <m/>
    <m/>
    <x v="28"/>
    <n v="1.42"/>
    <n v="9.4700000000000006"/>
    <x v="8"/>
    <m/>
  </r>
  <r>
    <s v="Miramar Pkg Lot 1"/>
    <s v="Miramar Way"/>
    <s v="San Diego, CA 92145"/>
    <n v="92145"/>
    <s v="N"/>
    <n v="32.876766000000003"/>
    <n v="-117.147013"/>
    <s v="Pkg_Lot"/>
    <n v="0.75"/>
    <m/>
    <s v=""/>
    <n v="0.75"/>
    <m/>
    <n v="0"/>
    <n v="275000"/>
    <s v="Pkg_Lot"/>
    <s v="High"/>
    <n v="1925000"/>
    <n v="0"/>
    <m/>
    <m/>
    <x v="28"/>
    <n v="1.42"/>
    <n v="9.4700000000000006"/>
    <x v="8"/>
    <n v="1600"/>
  </r>
  <r>
    <s v="Miramar Pkg Lot 2"/>
    <s v="Miramar Way"/>
    <s v="San Diego, CA 92145"/>
    <n v="92145"/>
    <s v="N"/>
    <n v="32.876137999999997"/>
    <n v="-117.144802"/>
    <s v="Pkg_Lot"/>
    <n v="0.75"/>
    <m/>
    <s v=""/>
    <n v="0.75"/>
    <m/>
    <n v="0"/>
    <n v="166000"/>
    <s v="Pkg_Lot"/>
    <s v="High"/>
    <n v="1162000"/>
    <n v="0"/>
    <m/>
    <m/>
    <x v="28"/>
    <n v="1.42"/>
    <n v="9.4700000000000006"/>
    <x v="8"/>
    <n v="2000"/>
  </r>
  <r>
    <s v="Miramar Pkg Lot 3"/>
    <s v="Miramar Way"/>
    <s v="San Diego, CA 92145"/>
    <n v="92145"/>
    <s v="N"/>
    <n v="32.876379"/>
    <n v="-117.143854"/>
    <s v="Pkg_Lot"/>
    <n v="0.75"/>
    <m/>
    <s v=""/>
    <n v="0.75"/>
    <m/>
    <n v="0"/>
    <n v="38000"/>
    <s v="Pkg_Lot"/>
    <s v="High"/>
    <n v="266000"/>
    <n v="0"/>
    <m/>
    <m/>
    <x v="28"/>
    <n v="1.42"/>
    <n v="9.4700000000000006"/>
    <x v="8"/>
    <n v="2000"/>
  </r>
  <r>
    <s v="Miramar Pkg Lot 4"/>
    <s v="Miramar Way"/>
    <s v="San Diego, CA 92145"/>
    <n v="92145"/>
    <s v="N"/>
    <n v="32.877141000000002"/>
    <n v="-117.14179900000001"/>
    <s v="Pkg_Lot"/>
    <n v="0.75"/>
    <m/>
    <s v=""/>
    <n v="0.75"/>
    <m/>
    <n v="0"/>
    <n v="50000"/>
    <s v="Pkg_Lot"/>
    <s v="High"/>
    <n v="350000"/>
    <n v="0"/>
    <m/>
    <m/>
    <x v="28"/>
    <n v="1.42"/>
    <n v="9.4700000000000006"/>
    <x v="8"/>
    <n v="1800"/>
  </r>
  <r>
    <s v="Miramar Pkg Lot 5"/>
    <s v="Miramar Way"/>
    <s v="San Diego, CA 92145"/>
    <n v="92145"/>
    <s v="N"/>
    <n v="32.877887999999999"/>
    <n v="-117.141352"/>
    <s v="Pkg_Lot"/>
    <n v="0.75"/>
    <m/>
    <s v=""/>
    <n v="0.75"/>
    <m/>
    <n v="0"/>
    <n v="73000"/>
    <s v="Pkg_Lot"/>
    <s v="High"/>
    <n v="511000"/>
    <n v="0"/>
    <m/>
    <m/>
    <x v="28"/>
    <n v="1.42"/>
    <n v="9.4700000000000006"/>
    <x v="8"/>
    <n v="1800"/>
  </r>
  <r>
    <s v="Miramar Pkg Lot 6"/>
    <s v="Miramar Way"/>
    <s v="San Diego, CA 92145"/>
    <n v="92145"/>
    <s v="N"/>
    <n v="32.875017"/>
    <n v="-117.140381"/>
    <s v="Pkg_Lot"/>
    <n v="0.75"/>
    <m/>
    <s v=""/>
    <n v="0.75"/>
    <m/>
    <n v="0"/>
    <n v="24000"/>
    <s v="Pkg_Lot"/>
    <s v="High"/>
    <n v="168000"/>
    <n v="0"/>
    <m/>
    <m/>
    <x v="28"/>
    <n v="1.42"/>
    <n v="9.4700000000000006"/>
    <x v="8"/>
    <n v="2700"/>
  </r>
  <r>
    <s v="Miramar Pkg Lot 7"/>
    <s v="Miramar Way"/>
    <s v="San Diego, CA 92145"/>
    <n v="92145"/>
    <s v="N"/>
    <n v="32.875368999999999"/>
    <n v="-117.139861"/>
    <s v="Pkg_Lot"/>
    <n v="0.75"/>
    <m/>
    <s v=""/>
    <n v="0.75"/>
    <m/>
    <n v="0"/>
    <n v="40000"/>
    <s v="Pkg_Lot"/>
    <s v="High"/>
    <n v="280000"/>
    <n v="0"/>
    <m/>
    <m/>
    <x v="28"/>
    <n v="1.42"/>
    <n v="9.4700000000000006"/>
    <x v="8"/>
    <n v="2700"/>
  </r>
  <r>
    <s v="Miramar Pkg Lot 8"/>
    <s v="Miramar Way"/>
    <s v="San Diego, CA 92145"/>
    <n v="92145"/>
    <s v="N"/>
    <n v="32.875661999999998"/>
    <n v="-117.138569"/>
    <s v="Pkg_Lot"/>
    <n v="0.75"/>
    <m/>
    <s v=""/>
    <n v="0.75"/>
    <m/>
    <n v="0"/>
    <n v="36000"/>
    <s v="Pkg_Lot"/>
    <s v="High"/>
    <n v="252000"/>
    <n v="0"/>
    <m/>
    <m/>
    <x v="28"/>
    <n v="1.42"/>
    <n v="9.4700000000000006"/>
    <x v="8"/>
    <n v="2700"/>
  </r>
  <r>
    <s v="Miramar Pkg Lot 9"/>
    <s v="Miramar Way"/>
    <s v="San Diego, CA 92145"/>
    <n v="92145"/>
    <s v="N"/>
    <n v="32.876528"/>
    <n v="-117.13920899999999"/>
    <s v="Pkg_Lot"/>
    <n v="0.75"/>
    <m/>
    <s v=""/>
    <n v="0.75"/>
    <m/>
    <n v="0"/>
    <n v="83000"/>
    <s v="Pkg_Lot"/>
    <s v="High"/>
    <n v="581000"/>
    <n v="0"/>
    <m/>
    <m/>
    <x v="28"/>
    <n v="1.42"/>
    <n v="9.4700000000000006"/>
    <x v="8"/>
    <n v="2200"/>
  </r>
  <r>
    <s v="Miramar Pkg Lot 10"/>
    <s v="Miramar Way"/>
    <s v="San Diego, CA 92145"/>
    <n v="92145"/>
    <s v="N"/>
    <n v="32.876593999999997"/>
    <n v="-117.135476"/>
    <s v="Pkg_Lot"/>
    <n v="0.75"/>
    <m/>
    <s v=""/>
    <n v="0.75"/>
    <m/>
    <n v="0"/>
    <n v="167000"/>
    <s v="Pkg_Lot"/>
    <s v="High"/>
    <n v="1169000"/>
    <n v="0"/>
    <m/>
    <m/>
    <x v="28"/>
    <n v="1.42"/>
    <n v="9.4700000000000006"/>
    <x v="8"/>
    <n v="2300"/>
  </r>
  <r>
    <s v="Miramar Pkg Lot 11"/>
    <s v="Miramar Way"/>
    <s v="San Diego, CA 92145"/>
    <n v="92145"/>
    <s v="N"/>
    <n v="32.877837"/>
    <n v="-117.135486"/>
    <s v="Pkg_Lot"/>
    <n v="0.75"/>
    <m/>
    <s v=""/>
    <n v="0.75"/>
    <m/>
    <n v="0"/>
    <n v="69000"/>
    <s v="Pkg_Lot"/>
    <s v="High"/>
    <n v="483000"/>
    <n v="0"/>
    <m/>
    <m/>
    <x v="28"/>
    <n v="1.42"/>
    <n v="9.4700000000000006"/>
    <x v="8"/>
    <n v="2000"/>
  </r>
  <r>
    <s v="Miramar Pkg Lot 12"/>
    <s v="Miramar Way"/>
    <s v="San Diego, CA 92145"/>
    <n v="92145"/>
    <s v="N"/>
    <n v="32.877848"/>
    <n v="-117.134744"/>
    <s v="Pkg_Lot"/>
    <n v="0.75"/>
    <m/>
    <s v=""/>
    <n v="0.75"/>
    <m/>
    <n v="0"/>
    <n v="55000"/>
    <s v="Pkg_Lot"/>
    <s v="High"/>
    <n v="385000"/>
    <n v="0"/>
    <m/>
    <m/>
    <x v="28"/>
    <n v="1.42"/>
    <n v="9.4700000000000006"/>
    <x v="8"/>
    <n v="2000"/>
  </r>
  <r>
    <s v="Miramar Pkg Lot 13"/>
    <s v="Miramar Way"/>
    <s v="San Diego, CA 92145"/>
    <n v="92145"/>
    <s v="N"/>
    <n v="32.877811000000001"/>
    <n v="-117.13283699999999"/>
    <s v="Pkg_Lot"/>
    <n v="0.75"/>
    <m/>
    <s v=""/>
    <n v="0.75"/>
    <m/>
    <n v="0"/>
    <n v="59000"/>
    <s v="Pkg_Lot"/>
    <s v="High"/>
    <n v="413000"/>
    <n v="0"/>
    <m/>
    <m/>
    <x v="28"/>
    <n v="1.42"/>
    <n v="9.4700000000000006"/>
    <x v="8"/>
    <n v="2100"/>
  </r>
  <r>
    <s v="Miramar Pkg Lot 14"/>
    <s v="Miramar Way"/>
    <s v="San Diego, CA 92145"/>
    <n v="92145"/>
    <s v="N"/>
    <n v="32.878709000000001"/>
    <n v="-117.13136900000001"/>
    <s v="Pkg_Lot"/>
    <n v="0.75"/>
    <m/>
    <s v=""/>
    <n v="0.75"/>
    <m/>
    <n v="0"/>
    <n v="88000"/>
    <s v="Pkg_Lot"/>
    <s v="High"/>
    <n v="616000"/>
    <n v="0"/>
    <m/>
    <m/>
    <x v="28"/>
    <n v="1.42"/>
    <n v="9.4700000000000006"/>
    <x v="8"/>
    <n v="1900"/>
  </r>
  <r>
    <s v="Miramar Pkg Lot 15"/>
    <s v="Miramar Way"/>
    <s v="San Diego, CA 92145"/>
    <n v="92145"/>
    <s v="N"/>
    <n v="32.878709000000001"/>
    <n v="-117.129564"/>
    <s v="Pkg_Lot"/>
    <n v="0.75"/>
    <m/>
    <s v=""/>
    <n v="0.75"/>
    <m/>
    <n v="0"/>
    <n v="106000"/>
    <s v="Pkg_Lot"/>
    <s v="High"/>
    <n v="742000"/>
    <n v="0"/>
    <m/>
    <m/>
    <x v="28"/>
    <n v="1.42"/>
    <n v="9.4700000000000006"/>
    <x v="8"/>
    <n v="1900"/>
  </r>
  <r>
    <s v="Miramar Pkg Lot 16"/>
    <s v="Miramar Way"/>
    <s v="San Diego, CA 92145"/>
    <n v="92145"/>
    <s v="N"/>
    <n v="32.878822"/>
    <n v="-117.125139"/>
    <s v="Pkg_Lot"/>
    <n v="0.75"/>
    <m/>
    <s v=""/>
    <n v="0.75"/>
    <m/>
    <n v="0"/>
    <n v="180000"/>
    <s v="Pkg_Lot"/>
    <s v="High"/>
    <n v="1260000"/>
    <n v="0"/>
    <m/>
    <m/>
    <x v="28"/>
    <n v="1.42"/>
    <n v="9.4700000000000006"/>
    <x v="8"/>
    <n v="1900"/>
  </r>
  <r>
    <s v="Miramar Pkg Lot 17"/>
    <s v="Miramar Way"/>
    <s v="San Diego, CA 92145"/>
    <n v="92145"/>
    <s v="N"/>
    <n v="32.878562000000002"/>
    <n v="-117.120155"/>
    <s v="Pkg_Lot"/>
    <n v="0.75"/>
    <m/>
    <s v=""/>
    <n v="0.75"/>
    <m/>
    <n v="0"/>
    <n v="31000"/>
    <s v="Pkg_Lot"/>
    <s v="High"/>
    <n v="217000"/>
    <n v="0"/>
    <m/>
    <m/>
    <x v="28"/>
    <n v="1.42"/>
    <n v="9.4700000000000006"/>
    <x v="8"/>
    <n v="2000"/>
  </r>
  <r>
    <s v="Miramar Pkg Lot 18"/>
    <s v="Miramar Way"/>
    <s v="San Diego, CA 92145"/>
    <n v="92145"/>
    <s v="N"/>
    <n v="32.879174999999996"/>
    <n v="-117.119691"/>
    <s v="Pkg_Lot"/>
    <n v="0.75"/>
    <m/>
    <s v=""/>
    <n v="0.75"/>
    <m/>
    <n v="0"/>
    <n v="22000"/>
    <s v="Pkg_Lot"/>
    <s v="High"/>
    <n v="154000"/>
    <n v="0"/>
    <m/>
    <m/>
    <x v="28"/>
    <n v="1.42"/>
    <n v="9.4700000000000006"/>
    <x v="8"/>
    <n v="1900"/>
  </r>
  <r>
    <s v="Miramar Pkg Lot 19"/>
    <s v="Miramar Way"/>
    <s v="San Diego, CA 92145"/>
    <n v="92145"/>
    <s v="N"/>
    <n v="32.881726999999998"/>
    <n v="-117.12584699999999"/>
    <s v="Pkg_Lot"/>
    <n v="0.75"/>
    <m/>
    <s v=""/>
    <n v="0.75"/>
    <m/>
    <n v="0"/>
    <n v="115000"/>
    <s v="Pkg_Lot"/>
    <s v="High"/>
    <n v="805000"/>
    <n v="0"/>
    <m/>
    <m/>
    <x v="28"/>
    <n v="1.42"/>
    <n v="9.4700000000000006"/>
    <x v="8"/>
    <n v="650"/>
  </r>
  <r>
    <s v="Miramar Pkg Lot 20"/>
    <s v="Miramar Way"/>
    <s v="San Diego, CA 92145"/>
    <n v="92145"/>
    <s v="N"/>
    <n v="32.880915999999999"/>
    <n v="-117.134918"/>
    <s v="Pkg_Lot"/>
    <n v="0.75"/>
    <m/>
    <s v=""/>
    <n v="0.75"/>
    <m/>
    <n v="0"/>
    <n v="85000"/>
    <s v="Pkg_Lot"/>
    <s v="High"/>
    <n v="595000"/>
    <n v="0"/>
    <m/>
    <m/>
    <x v="28"/>
    <n v="1.42"/>
    <n v="9.4700000000000006"/>
    <x v="8"/>
    <n v="900"/>
  </r>
  <r>
    <s v="Miramar Pkg Lot 21"/>
    <s v="Miramar Way"/>
    <s v="San Diego, CA 92145"/>
    <n v="92145"/>
    <s v="N"/>
    <n v="32.882069999999999"/>
    <n v="-117.13495500000001"/>
    <s v="Pkg_Lot"/>
    <n v="0.75"/>
    <m/>
    <s v=""/>
    <n v="0.75"/>
    <m/>
    <n v="0"/>
    <n v="76000"/>
    <s v="Pkg_Lot"/>
    <s v="High"/>
    <n v="532000"/>
    <n v="0"/>
    <m/>
    <m/>
    <x v="28"/>
    <n v="1.42"/>
    <n v="9.4700000000000006"/>
    <x v="8"/>
    <n v="400"/>
  </r>
  <r>
    <s v="Miramar Pkg Lot 22"/>
    <s v="Miramar Way"/>
    <s v="San Diego, CA 92145"/>
    <n v="92145"/>
    <s v="N"/>
    <n v="32.883175999999999"/>
    <n v="-117.134404"/>
    <s v="Pkg_Lot"/>
    <n v="0.75"/>
    <m/>
    <s v=""/>
    <n v="0.75"/>
    <m/>
    <n v="0"/>
    <n v="93000"/>
    <s v="Pkg_Lot"/>
    <s v="High"/>
    <n v="651000"/>
    <n v="0"/>
    <m/>
    <m/>
    <x v="28"/>
    <n v="1.42"/>
    <n v="9.4700000000000006"/>
    <x v="8"/>
    <n v="150"/>
  </r>
  <r>
    <s v="Miramar Pkg Lot 23 Brig"/>
    <s v="Miramar Way"/>
    <s v="San Diego, CA 92145"/>
    <n v="92145"/>
    <s v="N"/>
    <n v="32.880947999999997"/>
    <n v="-117.148132"/>
    <s v="Pkg_Lot"/>
    <n v="0.75"/>
    <m/>
    <s v=""/>
    <n v="0.75"/>
    <m/>
    <n v="0"/>
    <n v="73000"/>
    <s v="Pkg_Lot"/>
    <s v="High"/>
    <n v="511000"/>
    <n v="0"/>
    <m/>
    <m/>
    <x v="28"/>
    <n v="1.42"/>
    <n v="9.4700000000000006"/>
    <x v="8"/>
    <n v="100"/>
  </r>
  <r>
    <s v="Miramar Pkg Lot 24 Brig"/>
    <s v="Miramar Way"/>
    <s v="San Diego, CA 92145"/>
    <n v="92145"/>
    <s v="N"/>
    <n v="32.880706000000004"/>
    <n v="-117.15173900000001"/>
    <s v="Pkg_Lot"/>
    <n v="0.75"/>
    <m/>
    <s v=""/>
    <n v="0.75"/>
    <m/>
    <n v="0"/>
    <n v="38000"/>
    <s v="Pkg_Lot"/>
    <s v="High"/>
    <n v="266000"/>
    <n v="0"/>
    <m/>
    <m/>
    <x v="28"/>
    <n v="1.42"/>
    <n v="9.4700000000000006"/>
    <x v="8"/>
    <n v="0"/>
  </r>
  <r>
    <s v="Miramar Pkg Lot 25"/>
    <s v="Miramar Way"/>
    <s v="San Diego, CA 92145"/>
    <n v="92145"/>
    <s v="N"/>
    <n v="32.884101999999999"/>
    <n v="-117.13822399999999"/>
    <s v="Pkg_Lot"/>
    <n v="0.75"/>
    <m/>
    <s v=""/>
    <n v="0.75"/>
    <m/>
    <n v="0"/>
    <n v="14000"/>
    <s v="Pkg_Lot"/>
    <s v="High"/>
    <n v="98000"/>
    <n v="0"/>
    <m/>
    <m/>
    <x v="28"/>
    <n v="1.42"/>
    <n v="9.4700000000000006"/>
    <x v="8"/>
    <n v="200"/>
  </r>
  <r>
    <s v="Miramar Pkg Lot 26"/>
    <s v="Miramar Way"/>
    <s v="San Diego, CA 92145"/>
    <n v="92145"/>
    <s v="N"/>
    <n v="32.886015999999998"/>
    <n v="-117.138238"/>
    <s v="Pkg_Lot"/>
    <n v="0.75"/>
    <m/>
    <s v=""/>
    <n v="0.75"/>
    <m/>
    <n v="0"/>
    <n v="54000"/>
    <s v="Pkg_Lot"/>
    <s v="High"/>
    <n v="378000"/>
    <n v="0"/>
    <m/>
    <m/>
    <x v="28"/>
    <n v="1.42"/>
    <n v="9.4700000000000006"/>
    <x v="8"/>
    <n v="900"/>
  </r>
  <r>
    <s v="Miramar Pkg Lot 27"/>
    <s v="Miramar Way"/>
    <s v="San Diego, CA 92145"/>
    <n v="92145"/>
    <s v="N"/>
    <n v="32.887194000000001"/>
    <n v="-117.139011"/>
    <s v="Pkg_Lot"/>
    <n v="0.75"/>
    <m/>
    <s v=""/>
    <n v="0.75"/>
    <m/>
    <n v="0"/>
    <n v="28000"/>
    <s v="Pkg_Lot"/>
    <s v="High"/>
    <n v="196000"/>
    <n v="0"/>
    <m/>
    <m/>
    <x v="28"/>
    <n v="1.42"/>
    <n v="9.4700000000000006"/>
    <x v="8"/>
    <n v="1100"/>
  </r>
  <r>
    <s v="Miramar Pkg Lot 28"/>
    <s v="Miramar Way"/>
    <s v="San Diego, CA 92145"/>
    <n v="92145"/>
    <s v="N"/>
    <n v="32.887017999999998"/>
    <n v="-117.137023"/>
    <s v="Pkg_Lot"/>
    <n v="0.75"/>
    <m/>
    <s v=""/>
    <n v="0.75"/>
    <m/>
    <n v="0"/>
    <n v="108000"/>
    <s v="Pkg_Lot"/>
    <s v="High"/>
    <n v="756000"/>
    <n v="0"/>
    <m/>
    <m/>
    <x v="28"/>
    <n v="1.42"/>
    <n v="9.4700000000000006"/>
    <x v="8"/>
    <n v="1100"/>
  </r>
  <r>
    <s v="Miramar Pkg Lot 29"/>
    <s v="Miramar Way"/>
    <s v="San Diego, CA 92145"/>
    <n v="92145"/>
    <s v="N"/>
    <n v="32.885939"/>
    <n v="-117.136486"/>
    <s v="Pkg_Lot"/>
    <n v="0.75"/>
    <m/>
    <s v=""/>
    <n v="0.75"/>
    <m/>
    <n v="0"/>
    <n v="48000"/>
    <s v="Pkg_Lot"/>
    <s v="High"/>
    <n v="336000"/>
    <n v="0"/>
    <m/>
    <m/>
    <x v="28"/>
    <n v="1.42"/>
    <n v="9.4700000000000006"/>
    <x v="8"/>
    <n v="900"/>
  </r>
  <r>
    <s v="Miramar Pkg Lot 30"/>
    <s v="Miramar Way"/>
    <s v="San Diego, CA 92145"/>
    <n v="92145"/>
    <s v="N"/>
    <n v="32.884743999999998"/>
    <n v="-117.137711"/>
    <s v="Pkg_Lot"/>
    <n v="0.75"/>
    <m/>
    <s v=""/>
    <n v="0.75"/>
    <m/>
    <n v="0"/>
    <n v="74000"/>
    <s v="Pkg_Lot"/>
    <s v="High"/>
    <n v="518000"/>
    <n v="0"/>
    <m/>
    <m/>
    <x v="28"/>
    <n v="1.42"/>
    <n v="9.4700000000000006"/>
    <x v="8"/>
    <n v="500"/>
  </r>
  <r>
    <s v="Miramar Pkg Lot 31"/>
    <s v="Miramar Way"/>
    <s v="San Diego, CA 92145"/>
    <n v="92145"/>
    <s v="N"/>
    <n v="32.883940000000003"/>
    <n v="-117.135991"/>
    <s v="Pkg_Lot"/>
    <n v="0.75"/>
    <m/>
    <s v=""/>
    <n v="0.75"/>
    <m/>
    <n v="0"/>
    <n v="60000"/>
    <s v="Pkg_Lot"/>
    <s v="High"/>
    <n v="420000"/>
    <n v="0"/>
    <m/>
    <m/>
    <x v="28"/>
    <n v="1.42"/>
    <n v="9.4700000000000006"/>
    <x v="8"/>
    <n v="0"/>
  </r>
  <r>
    <s v="Miramar Pkg Lot 32"/>
    <s v="Miramar Way"/>
    <s v="San Diego, CA 92145"/>
    <n v="92145"/>
    <s v="N"/>
    <n v="32.885008999999997"/>
    <n v="-117.13623699999999"/>
    <s v="Pkg_Lot"/>
    <n v="0.75"/>
    <m/>
    <s v=""/>
    <n v="0.75"/>
    <m/>
    <n v="0"/>
    <n v="74000"/>
    <s v="Pkg_Lot"/>
    <s v="High"/>
    <n v="518000"/>
    <n v="0"/>
    <m/>
    <m/>
    <x v="28"/>
    <n v="1.42"/>
    <n v="9.4700000000000006"/>
    <x v="8"/>
    <n v="500"/>
  </r>
  <r>
    <s v="Miramar Pkg Lot 33"/>
    <s v="Miramar Way"/>
    <s v="San Diego, CA 92145"/>
    <n v="92145"/>
    <s v="N"/>
    <n v="32.887107999999998"/>
    <n v="-117.134861"/>
    <s v="Pkg_Lot"/>
    <n v="0.75"/>
    <m/>
    <s v=""/>
    <n v="0.75"/>
    <m/>
    <n v="0"/>
    <n v="22000"/>
    <s v="Pkg_Lot"/>
    <s v="High"/>
    <n v="154000"/>
    <n v="0"/>
    <m/>
    <m/>
    <x v="28"/>
    <n v="1.42"/>
    <n v="9.4700000000000006"/>
    <x v="8"/>
    <n v="1200"/>
  </r>
  <r>
    <s v="Miramar Pkg Lot 34"/>
    <s v="Miramar Way"/>
    <s v="San Diego, CA 92145"/>
    <n v="92145"/>
    <s v="N"/>
    <n v="32.886332000000003"/>
    <n v="-117.13557900000001"/>
    <s v="Pkg_Lot"/>
    <n v="0.75"/>
    <m/>
    <s v=""/>
    <n v="0.75"/>
    <m/>
    <n v="0"/>
    <n v="25000"/>
    <s v="Pkg_Lot"/>
    <s v="High"/>
    <n v="175000"/>
    <n v="0"/>
    <m/>
    <m/>
    <x v="28"/>
    <n v="1.42"/>
    <n v="9.4700000000000006"/>
    <x v="8"/>
    <n v="950"/>
  </r>
  <r>
    <s v="Miramar Pkg Lot 35"/>
    <s v="Miramar Way"/>
    <s v="San Diego, CA 92145"/>
    <n v="92145"/>
    <s v="N"/>
    <n v="32.885967000000001"/>
    <n v="-117.13435200000001"/>
    <s v="Pkg_Lot"/>
    <n v="0.75"/>
    <m/>
    <s v=""/>
    <n v="0.75"/>
    <m/>
    <n v="0"/>
    <n v="99000"/>
    <s v="Pkg_Lot"/>
    <s v="High"/>
    <n v="693000"/>
    <n v="0"/>
    <m/>
    <m/>
    <x v="28"/>
    <n v="1.42"/>
    <n v="9.4700000000000006"/>
    <x v="8"/>
    <n v="800"/>
  </r>
  <r>
    <s v="Miramar Pkg Lot 36"/>
    <s v="Miramar Way"/>
    <s v="San Diego, CA 92145"/>
    <n v="92145"/>
    <s v="N"/>
    <n v="32.884821000000002"/>
    <n v="-117.13511"/>
    <s v="Pkg_Lot"/>
    <n v="0.75"/>
    <m/>
    <s v=""/>
    <n v="0.75"/>
    <m/>
    <n v="0"/>
    <n v="18000"/>
    <s v="Pkg_Lot"/>
    <s v="High"/>
    <n v="126000"/>
    <n v="0"/>
    <m/>
    <m/>
    <x v="28"/>
    <n v="1.42"/>
    <n v="9.4700000000000006"/>
    <x v="8"/>
    <n v="350"/>
  </r>
  <r>
    <s v="Miramar Pkg Lot 37"/>
    <s v="Miramar Way"/>
    <s v="San Diego, CA 92145"/>
    <n v="92145"/>
    <s v="N"/>
    <n v="32.884214"/>
    <n v="-117.13418900000001"/>
    <s v="Pkg_Lot"/>
    <n v="0.75"/>
    <m/>
    <s v=""/>
    <n v="0.75"/>
    <m/>
    <n v="0"/>
    <n v="29000"/>
    <s v="Pkg_Lot"/>
    <s v="High"/>
    <n v="203000"/>
    <n v="0"/>
    <m/>
    <m/>
    <x v="28"/>
    <n v="1.42"/>
    <n v="9.4700000000000006"/>
    <x v="8"/>
    <n v="100"/>
  </r>
  <r>
    <s v="Miramar Pkg Lot 38"/>
    <s v="Miramar Way"/>
    <s v="San Diego, CA 92145"/>
    <n v="92145"/>
    <s v="N"/>
    <n v="32.884068999999997"/>
    <n v="-117.133026"/>
    <s v="Pkg_Lot"/>
    <n v="0.75"/>
    <m/>
    <s v=""/>
    <n v="0.75"/>
    <m/>
    <n v="0"/>
    <n v="36000"/>
    <s v="Pkg_Lot"/>
    <s v="High"/>
    <n v="252000"/>
    <n v="0"/>
    <m/>
    <m/>
    <x v="28"/>
    <n v="1.42"/>
    <n v="9.4700000000000006"/>
    <x v="8"/>
    <n v="0"/>
  </r>
  <r>
    <s v="Miramar Pkg Lot 39"/>
    <s v="Miramar Way"/>
    <s v="San Diego, CA 92145"/>
    <n v="92145"/>
    <s v="N"/>
    <n v="32.885046000000003"/>
    <n v="-117.132775"/>
    <s v="Pkg_Lot"/>
    <n v="0.75"/>
    <m/>
    <s v=""/>
    <n v="0.75"/>
    <m/>
    <n v="0"/>
    <n v="80000"/>
    <s v="Pkg_Lot"/>
    <s v="High"/>
    <n v="560000"/>
    <n v="0"/>
    <m/>
    <m/>
    <x v="28"/>
    <n v="1.42"/>
    <n v="9.4700000000000006"/>
    <x v="8"/>
    <n v="300"/>
  </r>
  <r>
    <s v="Miramar Pkg Lot 40"/>
    <s v="Miramar Way"/>
    <s v="San Diego, CA 92145"/>
    <n v="92145"/>
    <s v="N"/>
    <n v="32.886105999999998"/>
    <n v="-117.133229"/>
    <s v="Pkg_Lot"/>
    <n v="0.75"/>
    <m/>
    <s v=""/>
    <n v="0.75"/>
    <m/>
    <n v="0"/>
    <n v="18000"/>
    <s v="Pkg_Lot"/>
    <s v="High"/>
    <n v="126000"/>
    <n v="0"/>
    <m/>
    <m/>
    <x v="28"/>
    <n v="1.42"/>
    <n v="9.4700000000000006"/>
    <x v="8"/>
    <n v="900"/>
  </r>
  <r>
    <s v="Miramar Pkg Lot 41"/>
    <s v="Miramar Way"/>
    <s v="San Diego, CA 92145"/>
    <n v="92145"/>
    <s v="N"/>
    <n v="32.887231"/>
    <n v="-117.133026"/>
    <s v="Pkg_Lot"/>
    <n v="0.75"/>
    <m/>
    <s v=""/>
    <n v="0.75"/>
    <m/>
    <n v="0"/>
    <n v="55000"/>
    <s v="Pkg_Lot"/>
    <s v="High"/>
    <n v="385000"/>
    <n v="0"/>
    <m/>
    <m/>
    <x v="28"/>
    <n v="1.42"/>
    <n v="9.4700000000000006"/>
    <x v="8"/>
    <n v="1300"/>
  </r>
  <r>
    <s v="Miramar Pkg Lot 42"/>
    <s v="Miramar Way"/>
    <s v="San Diego, CA 92145"/>
    <n v="92145"/>
    <s v="N"/>
    <n v="32.887354000000002"/>
    <n v="-117.13176300000001"/>
    <s v="Pkg_Lot"/>
    <n v="0.75"/>
    <m/>
    <s v=""/>
    <n v="0.75"/>
    <m/>
    <n v="0"/>
    <n v="33000"/>
    <s v="Pkg_Lot"/>
    <s v="High"/>
    <n v="231000"/>
    <n v="0"/>
    <m/>
    <m/>
    <x v="28"/>
    <n v="1.42"/>
    <n v="9.4700000000000006"/>
    <x v="8"/>
    <n v="1300"/>
  </r>
  <r>
    <s v="Miramar Pkg Lot 43"/>
    <s v="Miramar Way"/>
    <s v="San Diego, CA 92145"/>
    <n v="92145"/>
    <s v="N"/>
    <n v="32.886538000000002"/>
    <n v="-117.131286"/>
    <s v="Pkg_Lot"/>
    <n v="0.75"/>
    <m/>
    <s v=""/>
    <n v="0.75"/>
    <m/>
    <n v="0"/>
    <n v="26000"/>
    <s v="Pkg_Lot"/>
    <s v="High"/>
    <n v="182000"/>
    <n v="0"/>
    <m/>
    <m/>
    <x v="28"/>
    <n v="1.42"/>
    <n v="9.4700000000000006"/>
    <x v="8"/>
    <n v="1100"/>
  </r>
  <r>
    <s v="Miramar Pkg Lot 44"/>
    <s v="Miramar Way"/>
    <s v="San Diego, CA 92145"/>
    <n v="92145"/>
    <s v="N"/>
    <n v="32.885396"/>
    <n v="-117.131461"/>
    <s v="Pkg_Lot"/>
    <n v="0.75"/>
    <m/>
    <s v=""/>
    <n v="0.75"/>
    <m/>
    <n v="0"/>
    <n v="29000"/>
    <s v="Pkg_Lot"/>
    <s v="High"/>
    <n v="203000"/>
    <n v="0"/>
    <m/>
    <m/>
    <x v="28"/>
    <n v="1.42"/>
    <n v="9.4700000000000006"/>
    <x v="8"/>
    <n v="700"/>
  </r>
  <r>
    <s v="Miramar Pkg Lot 45"/>
    <s v="Miramar Way"/>
    <s v="San Diego, CA 92145"/>
    <n v="92145"/>
    <s v="N"/>
    <n v="32.884602000000001"/>
    <n v="-117.13143100000001"/>
    <s v="Pkg_Lot"/>
    <n v="0.75"/>
    <m/>
    <s v=""/>
    <n v="0.75"/>
    <m/>
    <n v="0"/>
    <n v="9000"/>
    <s v="Pkg_Lot"/>
    <s v="High"/>
    <n v="63000"/>
    <n v="0"/>
    <m/>
    <m/>
    <x v="28"/>
    <n v="1.42"/>
    <n v="9.4700000000000006"/>
    <x v="8"/>
    <n v="300"/>
  </r>
  <r>
    <s v="Miramar Pkg Lot 46"/>
    <s v="Miramar Way"/>
    <s v="San Diego, CA 92145"/>
    <n v="92145"/>
    <s v="N"/>
    <n v="32.88729"/>
    <n v="-117.12975900000001"/>
    <s v="Pkg_Lot"/>
    <n v="0.75"/>
    <m/>
    <s v=""/>
    <n v="0.75"/>
    <m/>
    <n v="0"/>
    <n v="43000"/>
    <s v="Pkg_Lot"/>
    <s v="High"/>
    <n v="301000"/>
    <n v="0"/>
    <m/>
    <m/>
    <x v="28"/>
    <n v="1.42"/>
    <n v="9.4700000000000006"/>
    <x v="8"/>
    <n v="1200"/>
  </r>
  <r>
    <s v="Miramar Pkg Lot 47"/>
    <s v="Miramar Way"/>
    <s v="San Diego, CA 92145"/>
    <n v="92145"/>
    <s v="N"/>
    <n v="32.886707999999999"/>
    <n v="-117.129302"/>
    <s v="Target"/>
    <n v="0.75"/>
    <s v="Red"/>
    <s v=""/>
    <n v="0.75"/>
    <m/>
    <n v="0"/>
    <m/>
    <s v="Existing"/>
    <m/>
    <n v="0"/>
    <n v="0"/>
    <s v="Partial pkg lot coverage"/>
    <m/>
    <x v="28"/>
    <n v="1.42"/>
    <n v="9.4700000000000006"/>
    <x v="8"/>
    <n v="1000"/>
  </r>
  <r>
    <s v="Miramar Pkg Lot 48"/>
    <s v="Miramar Way"/>
    <s v="San Diego, CA 92145"/>
    <n v="92145"/>
    <s v="N"/>
    <n v="32.887132000000001"/>
    <n v="-117.128291"/>
    <s v="Pkg_Lot"/>
    <n v="0.75"/>
    <m/>
    <s v=""/>
    <n v="0.75"/>
    <m/>
    <n v="0"/>
    <n v="36000"/>
    <s v="Pkg_Lot"/>
    <s v="High"/>
    <n v="252000"/>
    <n v="0"/>
    <m/>
    <m/>
    <x v="28"/>
    <n v="1.42"/>
    <n v="9.4700000000000006"/>
    <x v="8"/>
    <n v="1200"/>
  </r>
  <r>
    <s v="Miramar Pkg Lot 49"/>
    <s v="Miramar Way"/>
    <s v="San Diego, CA 92145"/>
    <n v="92145"/>
    <s v="N"/>
    <n v="32.885562"/>
    <n v="-117.12986100000001"/>
    <s v="Pkg_Lot"/>
    <n v="0.75"/>
    <m/>
    <s v=""/>
    <n v="0.75"/>
    <m/>
    <n v="0"/>
    <n v="50000"/>
    <s v="Pkg_Lot"/>
    <s v="High"/>
    <n v="350000"/>
    <n v="0"/>
    <m/>
    <m/>
    <x v="28"/>
    <n v="1.42"/>
    <n v="9.4700000000000006"/>
    <x v="8"/>
    <n v="600"/>
  </r>
  <r>
    <s v="Miramar Pkg Lot 50"/>
    <s v="Miramar Way"/>
    <s v="San Diego, CA 92145"/>
    <n v="92145"/>
    <s v="N"/>
    <n v="32.884720999999999"/>
    <n v="-117.130712"/>
    <s v="Pkg_Lot"/>
    <n v="0.75"/>
    <m/>
    <s v=""/>
    <n v="0.75"/>
    <m/>
    <n v="0"/>
    <n v="32000"/>
    <s v="Pkg_Lot"/>
    <s v="High"/>
    <n v="224000"/>
    <n v="0"/>
    <m/>
    <m/>
    <x v="28"/>
    <n v="1.42"/>
    <n v="9.4700000000000006"/>
    <x v="8"/>
    <n v="200"/>
  </r>
  <r>
    <s v="Miramar Pkg Lot 51"/>
    <s v="Miramar Way"/>
    <s v="San Diego, CA 92145"/>
    <n v="92145"/>
    <s v="N"/>
    <n v="32.884520999999999"/>
    <n v="-117.127706"/>
    <s v="Pkg_Lot"/>
    <n v="0.75"/>
    <m/>
    <s v=""/>
    <n v="0.75"/>
    <m/>
    <n v="0"/>
    <n v="107000"/>
    <s v="Pkg_Lot"/>
    <s v="High"/>
    <n v="749000"/>
    <n v="0"/>
    <m/>
    <m/>
    <x v="28"/>
    <n v="1.42"/>
    <n v="9.4700000000000006"/>
    <x v="8"/>
    <n v="200"/>
  </r>
  <r>
    <s v="Miramar Pkg Lot 52"/>
    <s v="Miramar Way"/>
    <s v="San Diego, CA 92145"/>
    <n v="92145"/>
    <s v="N"/>
    <n v="32.887090000000001"/>
    <n v="-117.12497"/>
    <s v="Pkg_Lot"/>
    <n v="0.75"/>
    <m/>
    <s v=""/>
    <n v="0.75"/>
    <m/>
    <n v="0"/>
    <n v="58000"/>
    <s v="Pkg_Lot"/>
    <s v="High"/>
    <n v="406000"/>
    <n v="0"/>
    <m/>
    <m/>
    <x v="28"/>
    <n v="1.42"/>
    <n v="9.4700000000000006"/>
    <x v="8"/>
    <n v="1200"/>
  </r>
  <r>
    <s v="Miramar Pkg Lot 53"/>
    <s v="Miramar Way"/>
    <s v="San Diego, CA 92145"/>
    <n v="92145"/>
    <s v="N"/>
    <n v="32.884450000000001"/>
    <n v="-117.12394500000001"/>
    <s v="Pkg_Lot"/>
    <n v="0.75"/>
    <m/>
    <s v=""/>
    <n v="0.75"/>
    <m/>
    <n v="0"/>
    <n v="23000"/>
    <s v="Pkg_Lot"/>
    <s v="High"/>
    <n v="161000"/>
    <n v="0"/>
    <m/>
    <m/>
    <x v="28"/>
    <n v="1.42"/>
    <n v="9.4700000000000006"/>
    <x v="8"/>
    <n v="200"/>
  </r>
  <r>
    <s v="Miramar Pkg Lot 54"/>
    <s v="Miramar Way"/>
    <s v="San Diego, CA 92145"/>
    <n v="92145"/>
    <s v="N"/>
    <n v="32.885022999999997"/>
    <n v="-117.121583"/>
    <s v="Pkg_Lot"/>
    <n v="0.75"/>
    <m/>
    <s v=""/>
    <n v="0.75"/>
    <m/>
    <n v="0"/>
    <n v="87000"/>
    <s v="Pkg_Lot"/>
    <s v="High"/>
    <n v="609000"/>
    <n v="0"/>
    <m/>
    <m/>
    <x v="28"/>
    <n v="1.42"/>
    <n v="9.4700000000000006"/>
    <x v="8"/>
    <n v="400"/>
  </r>
  <r>
    <s v="Miramar Pkg Lot 55"/>
    <s v="Miramar Way"/>
    <s v="San Diego, CA 92145"/>
    <n v="92145"/>
    <s v="N"/>
    <n v="32.887417999999997"/>
    <n v="-117.12103999999999"/>
    <s v="Pkg_Lot"/>
    <n v="0.75"/>
    <m/>
    <s v=""/>
    <n v="0.75"/>
    <m/>
    <n v="0"/>
    <n v="17000"/>
    <s v="Pkg_Lot"/>
    <s v="High"/>
    <n v="119000"/>
    <n v="0"/>
    <m/>
    <m/>
    <x v="28"/>
    <n v="1.42"/>
    <n v="9.4700000000000006"/>
    <x v="8"/>
    <n v="1300"/>
  </r>
  <r>
    <s v="Miramar Pkg Lot 56"/>
    <s v="Miramar Way"/>
    <s v="San Diego, CA 92145"/>
    <n v="92145"/>
    <s v="N"/>
    <n v="32.887144999999997"/>
    <n v="-117.119362"/>
    <s v="Pkg_Lot"/>
    <n v="0.75"/>
    <m/>
    <s v=""/>
    <n v="0.75"/>
    <m/>
    <n v="0"/>
    <n v="68000"/>
    <s v="Pkg_Lot"/>
    <s v="High"/>
    <n v="476000"/>
    <n v="0"/>
    <m/>
    <m/>
    <x v="28"/>
    <n v="1.42"/>
    <n v="9.4700000000000006"/>
    <x v="8"/>
    <n v="1250"/>
  </r>
  <r>
    <s v="Miramar Pkg Lot 57"/>
    <s v="Miramar Way"/>
    <s v="San Diego, CA 92145"/>
    <n v="92145"/>
    <s v="N"/>
    <n v="32.885421000000001"/>
    <n v="-117.119353"/>
    <s v="Pkg_Lot"/>
    <n v="0.75"/>
    <m/>
    <s v=""/>
    <n v="0.75"/>
    <m/>
    <n v="0"/>
    <n v="51000"/>
    <s v="Pkg_Lot"/>
    <s v="High"/>
    <n v="357000"/>
    <n v="0"/>
    <m/>
    <m/>
    <x v="28"/>
    <n v="1.42"/>
    <n v="9.4700000000000006"/>
    <x v="8"/>
    <n v="500"/>
  </r>
  <r>
    <s v="Miramar Pkg Lot 58"/>
    <s v="Miramar Way"/>
    <s v="San Diego, CA 92145"/>
    <n v="92145"/>
    <s v="N"/>
    <n v="32.885776999999997"/>
    <n v="-117.118287"/>
    <s v="Pkg_Lot"/>
    <n v="0.75"/>
    <m/>
    <s v=""/>
    <n v="0.75"/>
    <m/>
    <n v="0"/>
    <n v="107000"/>
    <s v="Pkg_Lot"/>
    <s v="High"/>
    <n v="749000"/>
    <n v="0"/>
    <m/>
    <m/>
    <x v="28"/>
    <n v="1.42"/>
    <n v="9.4700000000000006"/>
    <x v="8"/>
    <n v="600"/>
  </r>
  <r>
    <s v="Miramar Pkg Lot 59"/>
    <s v="Miramar Way"/>
    <s v="San Diego, CA 92145"/>
    <n v="92145"/>
    <s v="N"/>
    <n v="32.889777000000002"/>
    <n v="-117.13853400000001"/>
    <s v="Pkg_Lot"/>
    <n v="0.75"/>
    <m/>
    <s v=""/>
    <n v="0.75"/>
    <m/>
    <n v="0"/>
    <n v="61000"/>
    <s v="Pkg_Lot"/>
    <s v="High"/>
    <n v="427000"/>
    <n v="0"/>
    <m/>
    <m/>
    <x v="28"/>
    <n v="1.42"/>
    <n v="9.4700000000000006"/>
    <x v="8"/>
    <n v="2300"/>
  </r>
  <r>
    <s v="Miramar Pkg Lot 60"/>
    <s v="Miramar Way"/>
    <s v="San Diego, CA 92145"/>
    <n v="92145"/>
    <s v="N"/>
    <n v="32.889366000000003"/>
    <n v="-117.13716599999999"/>
    <s v="Pkg_Lot"/>
    <n v="0.75"/>
    <m/>
    <s v=""/>
    <n v="0.75"/>
    <m/>
    <n v="0"/>
    <n v="17000"/>
    <s v="Pkg_Lot"/>
    <s v="High"/>
    <n v="119000"/>
    <n v="0"/>
    <m/>
    <m/>
    <x v="28"/>
    <n v="1.42"/>
    <n v="9.4700000000000006"/>
    <x v="8"/>
    <n v="2200"/>
  </r>
  <r>
    <s v="Miramar Pkg Lot 61"/>
    <s v="Miramar Way"/>
    <s v="San Diego, CA 92145"/>
    <n v="92145"/>
    <s v="N"/>
    <n v="32.889198"/>
    <n v="-117.134362"/>
    <s v="Pkg_Lot"/>
    <n v="0.75"/>
    <m/>
    <s v=""/>
    <n v="0.75"/>
    <m/>
    <n v="0"/>
    <n v="15000"/>
    <s v="Pkg_Lot"/>
    <s v="High"/>
    <n v="105000"/>
    <n v="0"/>
    <m/>
    <m/>
    <x v="28"/>
    <n v="1.42"/>
    <n v="9.4700000000000006"/>
    <x v="8"/>
    <n v="2000"/>
  </r>
  <r>
    <s v="Miramar Pkg Lot 62"/>
    <s v="Miramar Way"/>
    <s v="San Diego, CA 92145"/>
    <n v="92145"/>
    <s v="N"/>
    <n v="32.889208000000004"/>
    <n v="-117.133432"/>
    <s v="Pkg_Lot"/>
    <n v="0.75"/>
    <m/>
    <s v=""/>
    <n v="0.75"/>
    <m/>
    <n v="0"/>
    <n v="31000"/>
    <s v="Pkg_Lot"/>
    <s v="High"/>
    <n v="217000"/>
    <n v="0"/>
    <m/>
    <m/>
    <x v="28"/>
    <n v="1.42"/>
    <n v="9.4700000000000006"/>
    <x v="8"/>
    <n v="2000"/>
  </r>
  <r>
    <s v="Miramar Pkg Lot 63"/>
    <s v="Miramar Way"/>
    <s v="San Diego, CA 92145"/>
    <n v="92145"/>
    <s v="N"/>
    <n v="32.889242000000003"/>
    <n v="-117.132321"/>
    <s v="Pkg_Lot"/>
    <n v="0.75"/>
    <m/>
    <s v=""/>
    <n v="0.75"/>
    <m/>
    <n v="0"/>
    <n v="28000"/>
    <s v="Pkg_Lot"/>
    <s v="High"/>
    <n v="196000"/>
    <n v="0"/>
    <m/>
    <m/>
    <x v="28"/>
    <n v="1.42"/>
    <n v="9.4700000000000006"/>
    <x v="8"/>
    <n v="2000"/>
  </r>
  <r>
    <s v="Miramar Pkg Lot 64"/>
    <s v="Miramar Way"/>
    <s v="San Diego, CA 92145"/>
    <n v="92145"/>
    <s v="N"/>
    <n v="32.889249999999997"/>
    <n v="-117.131529"/>
    <s v="Pkg_Lot"/>
    <n v="0.75"/>
    <m/>
    <s v=""/>
    <n v="0.75"/>
    <m/>
    <n v="0"/>
    <n v="16000"/>
    <s v="Pkg_Lot"/>
    <s v="High"/>
    <n v="112000"/>
    <n v="0"/>
    <m/>
    <m/>
    <x v="28"/>
    <n v="1.42"/>
    <n v="9.4700000000000006"/>
    <x v="8"/>
    <n v="2000"/>
  </r>
  <r>
    <s v="Miramar Pkg Lot 65"/>
    <s v="Miramar Way"/>
    <s v="San Diego, CA 92145"/>
    <n v="92145"/>
    <s v="N"/>
    <n v="32.888758000000003"/>
    <n v="-117.133948"/>
    <s v="Pkg_Lot"/>
    <n v="0.75"/>
    <m/>
    <s v=""/>
    <n v="0.75"/>
    <m/>
    <n v="0"/>
    <n v="10000"/>
    <s v="Pkg_Lot"/>
    <s v="High"/>
    <n v="70000"/>
    <n v="0"/>
    <m/>
    <m/>
    <x v="28"/>
    <n v="1.42"/>
    <n v="9.4700000000000006"/>
    <x v="8"/>
    <n v="2000"/>
  </r>
  <r>
    <s v="Miramar Pkg Lot 66"/>
    <s v="Miramar Way"/>
    <s v="San Diego, CA 92145"/>
    <n v="92145"/>
    <s v="N"/>
    <n v="32.887794"/>
    <n v="-117.1339"/>
    <s v="Pkg_Lot"/>
    <n v="0.75"/>
    <m/>
    <s v=""/>
    <n v="0.75"/>
    <m/>
    <n v="0"/>
    <n v="10000"/>
    <s v="Pkg_Lot"/>
    <s v="High"/>
    <n v="70000"/>
    <n v="0"/>
    <m/>
    <m/>
    <x v="28"/>
    <n v="1.42"/>
    <n v="9.4700000000000006"/>
    <x v="8"/>
    <n v="1800"/>
  </r>
  <r>
    <s v="Miramar Pkg Lot 67"/>
    <s v="Miramar Way"/>
    <s v="San Diego, CA 92145"/>
    <n v="92145"/>
    <s v="N"/>
    <n v="32.888759"/>
    <n v="-117.132519"/>
    <s v="Pkg_Lot"/>
    <n v="0.75"/>
    <m/>
    <s v=""/>
    <n v="0.75"/>
    <m/>
    <n v="0"/>
    <n v="15000"/>
    <s v="Pkg_Lot"/>
    <s v="High"/>
    <n v="105000"/>
    <n v="0"/>
    <m/>
    <m/>
    <x v="28"/>
    <n v="1.42"/>
    <n v="9.4700000000000006"/>
    <x v="8"/>
    <n v="2000"/>
  </r>
  <r>
    <s v="Miramar Pkg Lot 68"/>
    <s v="Miramar Way"/>
    <s v="San Diego, CA 92145"/>
    <n v="92145"/>
    <s v="N"/>
    <n v="32.888629999999999"/>
    <n v="-117.13192600000001"/>
    <s v="Pkg_Lot"/>
    <n v="0.75"/>
    <m/>
    <s v=""/>
    <n v="0.75"/>
    <m/>
    <n v="0"/>
    <n v="19000"/>
    <s v="Pkg_Lot"/>
    <s v="High"/>
    <n v="133000"/>
    <n v="0"/>
    <m/>
    <m/>
    <x v="28"/>
    <n v="1.42"/>
    <n v="9.4700000000000006"/>
    <x v="8"/>
    <n v="1900"/>
  </r>
  <r>
    <s v="Miramar Pkg Lot 69"/>
    <s v="Miramar Way"/>
    <s v="San Diego, CA 92145"/>
    <n v="92145"/>
    <s v="N"/>
    <n v="32.888018000000002"/>
    <n v="-117.131905"/>
    <s v="Pkg_Lot"/>
    <n v="0.75"/>
    <m/>
    <s v=""/>
    <n v="0.75"/>
    <m/>
    <n v="0"/>
    <n v="48000"/>
    <s v="Pkg_Lot"/>
    <s v="High"/>
    <n v="336000"/>
    <n v="0"/>
    <m/>
    <m/>
    <x v="28"/>
    <n v="1.42"/>
    <n v="9.4700000000000006"/>
    <x v="8"/>
    <n v="1900"/>
  </r>
  <r>
    <s v="Miramar Pkg Lot 70 Dental"/>
    <s v="Miramar Way"/>
    <s v="San Diego, CA 92145"/>
    <n v="92145"/>
    <s v="N"/>
    <n v="32.888384000000002"/>
    <n v="-117.130717"/>
    <s v="Pkg_Lot"/>
    <n v="0.75"/>
    <m/>
    <s v=""/>
    <n v="0.75"/>
    <m/>
    <n v="0"/>
    <n v="43000"/>
    <s v="Pkg_Lot"/>
    <s v="High"/>
    <n v="301000"/>
    <n v="0"/>
    <m/>
    <m/>
    <x v="28"/>
    <n v="1.42"/>
    <n v="9.4700000000000006"/>
    <x v="8"/>
    <n v="1900"/>
  </r>
  <r>
    <s v="Miramar Pkg Lot 71"/>
    <s v="Miramar Way"/>
    <s v="San Diego, CA 92145"/>
    <n v="92145"/>
    <s v="N"/>
    <n v="32.887799999999999"/>
    <n v="-117.12971"/>
    <s v="Pkg_Lot"/>
    <n v="0.75"/>
    <m/>
    <s v=""/>
    <n v="0.75"/>
    <m/>
    <n v="0"/>
    <n v="38000"/>
    <s v="Pkg_Lot"/>
    <s v="High"/>
    <n v="266000"/>
    <n v="0"/>
    <m/>
    <m/>
    <x v="28"/>
    <n v="1.42"/>
    <n v="9.4700000000000006"/>
    <x v="8"/>
    <n v="1900"/>
  </r>
  <r>
    <s v="Miramar Pkg Lot 72"/>
    <s v="Miramar Way"/>
    <s v="San Diego, CA 92145"/>
    <n v="92145"/>
    <s v="N"/>
    <n v="32.888646999999999"/>
    <n v="-117.129651"/>
    <s v="Pkg_Lot"/>
    <n v="0.75"/>
    <m/>
    <s v=""/>
    <n v="0.75"/>
    <m/>
    <n v="0"/>
    <n v="20000"/>
    <s v="Pkg_Lot"/>
    <s v="High"/>
    <n v="140000"/>
    <n v="0"/>
    <m/>
    <m/>
    <x v="28"/>
    <n v="1.42"/>
    <n v="9.4700000000000006"/>
    <x v="8"/>
    <n v="1800"/>
  </r>
  <r>
    <s v="Miramar Pkg Lot 73"/>
    <s v="Miramar Way"/>
    <s v="San Diego, CA 92145"/>
    <n v="92145"/>
    <s v="N"/>
    <n v="32.888007999999999"/>
    <n v="-117.12794"/>
    <s v="Pkg_Lot"/>
    <n v="0.75"/>
    <m/>
    <s v=""/>
    <n v="0.75"/>
    <m/>
    <n v="0"/>
    <n v="45000"/>
    <s v="Pkg_Lot"/>
    <s v="High"/>
    <n v="315000"/>
    <n v="0"/>
    <m/>
    <m/>
    <x v="28"/>
    <n v="1.42"/>
    <n v="9.4700000000000006"/>
    <x v="8"/>
    <n v="1700"/>
  </r>
  <r>
    <s v="Miramar Pkg Lot 74"/>
    <s v="Miramar Way"/>
    <s v="San Diego, CA 92145"/>
    <n v="92145"/>
    <s v="N"/>
    <n v="32.888012000000003"/>
    <n v="-117.127005"/>
    <s v="Pkg_Lot"/>
    <n v="0.75"/>
    <m/>
    <s v=""/>
    <n v="0.75"/>
    <m/>
    <n v="0"/>
    <n v="73000"/>
    <s v="Pkg_Lot"/>
    <s v="High"/>
    <n v="511000"/>
    <n v="0"/>
    <m/>
    <m/>
    <x v="28"/>
    <n v="1.42"/>
    <n v="9.4700000000000006"/>
    <x v="8"/>
    <n v="1900"/>
  </r>
  <r>
    <s v="Miramar Pkg Lot 75"/>
    <s v="Miramar Way"/>
    <s v="San Diego, CA 92145"/>
    <n v="92145"/>
    <s v="N"/>
    <n v="32.888041000000001"/>
    <n v="-117.125516"/>
    <s v="Pkg_Lot"/>
    <n v="0.75"/>
    <m/>
    <s v=""/>
    <n v="0.75"/>
    <m/>
    <n v="0"/>
    <n v="33000"/>
    <s v="Pkg_Lot"/>
    <s v="High"/>
    <n v="231000"/>
    <n v="0"/>
    <m/>
    <m/>
    <x v="28"/>
    <n v="1.42"/>
    <n v="9.4700000000000006"/>
    <x v="8"/>
    <n v="1900"/>
  </r>
  <r>
    <s v="Miramar Pkg Lot 76"/>
    <s v="Miramar Way"/>
    <s v="San Diego, CA 92145"/>
    <n v="92145"/>
    <s v="N"/>
    <n v="32.888812000000001"/>
    <n v="-117.12339799999999"/>
    <s v="Pkg_Lot"/>
    <n v="0.75"/>
    <m/>
    <s v=""/>
    <n v="0.75"/>
    <m/>
    <n v="0"/>
    <n v="35000"/>
    <s v="Pkg_Lot"/>
    <s v="High"/>
    <n v="245000"/>
    <n v="0"/>
    <m/>
    <m/>
    <x v="28"/>
    <n v="1.42"/>
    <n v="9.4700000000000006"/>
    <x v="8"/>
    <n v="2100"/>
  </r>
  <r>
    <s v="Miramar Pkg Lot 77"/>
    <s v="Miramar Way"/>
    <s v="San Diego, CA 92145"/>
    <n v="92145"/>
    <s v="N"/>
    <n v="32.889392999999998"/>
    <n v="-117.122113"/>
    <s v="Pkg_Lot"/>
    <n v="0.75"/>
    <m/>
    <s v=""/>
    <n v="0.75"/>
    <m/>
    <n v="0"/>
    <n v="9000"/>
    <s v="Pkg_Lot"/>
    <s v="High"/>
    <n v="63000"/>
    <n v="0"/>
    <m/>
    <m/>
    <x v="28"/>
    <n v="1.42"/>
    <n v="9.4700000000000006"/>
    <x v="8"/>
    <n v="1600"/>
  </r>
  <r>
    <s v="Miramar Pkg Lot 78"/>
    <s v="Miramar Way"/>
    <s v="San Diego, CA 92145"/>
    <n v="92145"/>
    <s v="N"/>
    <n v="32.887715999999998"/>
    <n v="-117.122151"/>
    <s v="Pkg_Lot"/>
    <n v="0.75"/>
    <m/>
    <s v=""/>
    <n v="0.75"/>
    <m/>
    <n v="0"/>
    <n v="7800"/>
    <s v="Pkg_Lot"/>
    <s v="High"/>
    <n v="54600"/>
    <n v="0"/>
    <m/>
    <m/>
    <x v="28"/>
    <n v="1.42"/>
    <n v="9.4700000000000006"/>
    <x v="8"/>
    <n v="900"/>
  </r>
  <r>
    <s v="Miramar Pkg Lot 79"/>
    <s v="Miramar Way"/>
    <s v="San Diego, CA 92145"/>
    <n v="92145"/>
    <s v="N"/>
    <n v="32.889208000000004"/>
    <n v="-117.119962"/>
    <s v="Pkg_Lot"/>
    <n v="0.75"/>
    <m/>
    <s v=""/>
    <n v="0.75"/>
    <m/>
    <n v="0"/>
    <n v="60000"/>
    <s v="Pkg_Lot"/>
    <s v="High"/>
    <n v="420000"/>
    <n v="0"/>
    <m/>
    <m/>
    <x v="28"/>
    <n v="1.42"/>
    <n v="9.4700000000000006"/>
    <x v="8"/>
    <n v="1100"/>
  </r>
  <r>
    <s v="Miramar Pkg Lot 80"/>
    <s v="Miramar Way"/>
    <s v="San Diego, CA 92145"/>
    <n v="92145"/>
    <s v="N"/>
    <n v="32.891103999999999"/>
    <n v="-117.138338"/>
    <s v="Pkg_Lot"/>
    <n v="0.75"/>
    <m/>
    <s v=""/>
    <n v="0.75"/>
    <m/>
    <n v="0"/>
    <n v="25000"/>
    <s v="Pkg_Lot"/>
    <s v="High"/>
    <n v="175000"/>
    <n v="0"/>
    <m/>
    <m/>
    <x v="28"/>
    <n v="1.42"/>
    <n v="9.4700000000000006"/>
    <x v="8"/>
    <n v="2600"/>
  </r>
  <r>
    <s v="Miramar Pkg Lot 81 Commissary_MCX"/>
    <s v="Miramar Way"/>
    <s v="San Diego, CA 92145"/>
    <n v="92145"/>
    <s v="N"/>
    <n v="32.891845000000004"/>
    <n v="-117.136742"/>
    <s v="Pkg_Lot"/>
    <n v="0.75"/>
    <m/>
    <s v=""/>
    <n v="0.75"/>
    <m/>
    <n v="0"/>
    <n v="262000"/>
    <s v="Pkg_Lot"/>
    <s v="High"/>
    <n v="1834000"/>
    <n v="0"/>
    <s v="RV &amp;amp; boat storage"/>
    <m/>
    <x v="28"/>
    <n v="1.42"/>
    <n v="9.4700000000000006"/>
    <x v="8"/>
    <n v="2950"/>
  </r>
  <r>
    <s v="Miramar Pkg Lot 82"/>
    <s v="Miramar Way"/>
    <s v="San Diego, CA 92145"/>
    <n v="92145"/>
    <s v="N"/>
    <n v="32.891635999999998"/>
    <n v="-117.124548"/>
    <s v="Pkg_Lot"/>
    <n v="0.75"/>
    <m/>
    <s v=""/>
    <n v="0.75"/>
    <m/>
    <n v="0"/>
    <n v="447000"/>
    <s v="Pkg_Lot"/>
    <s v="High"/>
    <n v="3129000"/>
    <n v="0"/>
    <m/>
    <m/>
    <x v="28"/>
    <n v="1.42"/>
    <n v="9.4700000000000006"/>
    <x v="8"/>
    <n v="600"/>
  </r>
  <r>
    <s v="Naval Brig"/>
    <s v="Miramar Way"/>
    <s v="San Diego, CA 92145"/>
    <n v="92145"/>
    <s v="N"/>
    <n v="32.879778000000002"/>
    <n v="-117.152325"/>
    <s v="Roof_Flat"/>
    <n v="0.75"/>
    <m/>
    <s v=""/>
    <n v="0.75"/>
    <m/>
    <n v="0"/>
    <n v="117600"/>
    <s v="Roof_Flat"/>
    <s v="Medium"/>
    <n v="705600"/>
    <n v="0"/>
    <m/>
    <m/>
    <x v="28"/>
    <n v="1.42"/>
    <n v="9.4700000000000006"/>
    <x v="8"/>
    <n v="300"/>
  </r>
  <r>
    <s v="Naval Air Reserve Recruit"/>
    <s v="Miramar Way"/>
    <s v="San Diego, CA 92145"/>
    <n v="92145"/>
    <s v="N"/>
    <n v="32.875870999999997"/>
    <n v="-117.148008"/>
    <s v="Roof_Flat"/>
    <n v="0.75"/>
    <m/>
    <s v=""/>
    <n v="0.75"/>
    <m/>
    <n v="0"/>
    <n v="39000"/>
    <s v="Roof_Flat"/>
    <s v="High"/>
    <n v="273000"/>
    <n v="0"/>
    <m/>
    <m/>
    <x v="28"/>
    <n v="1.42"/>
    <n v="9.4700000000000006"/>
    <x v="8"/>
    <n v="1900"/>
  </r>
  <r>
    <s v="W of Castle Grayskull"/>
    <s v="Miramar Way"/>
    <s v="San Diego, CA 92145"/>
    <n v="92145"/>
    <s v="N"/>
    <n v="32.877124999999999"/>
    <n v="-117.143113"/>
    <s v="Roof_Flat"/>
    <n v="0.75"/>
    <m/>
    <s v=""/>
    <n v="0.75"/>
    <m/>
    <n v="0"/>
    <n v="24000"/>
    <s v="Roof_Flat"/>
    <s v="High"/>
    <n v="168000"/>
    <n v="0"/>
    <m/>
    <m/>
    <x v="28"/>
    <n v="1.42"/>
    <n v="9.4700000000000006"/>
    <x v="8"/>
    <n v="1800"/>
  </r>
  <r>
    <s v="Castle Grayskull"/>
    <s v="Miramar Way"/>
    <s v="San Diego, CA 92145"/>
    <n v="92145"/>
    <s v="N"/>
    <n v="32.877445899999998"/>
    <n v="-117.1416941"/>
    <s v="Roof_Flat"/>
    <n v="0.75"/>
    <m/>
    <s v=""/>
    <n v="0.75"/>
    <m/>
    <n v="0"/>
    <n v="33000"/>
    <s v="Roof_Flat"/>
    <s v="High"/>
    <n v="231000"/>
    <n v="0"/>
    <m/>
    <m/>
    <x v="28"/>
    <n v="1.42"/>
    <n v="9.4700000000000006"/>
    <x v="8"/>
    <n v="1700"/>
  </r>
  <r>
    <s v="NE of Castle Grayskull"/>
    <s v="Miramar Way"/>
    <s v="San Diego, CA 92145"/>
    <n v="92145"/>
    <s v="N"/>
    <n v="32.877913999999997"/>
    <n v="-117.140106"/>
    <s v="Roof_Flat"/>
    <n v="0.75"/>
    <m/>
    <s v=""/>
    <n v="0.75"/>
    <m/>
    <n v="0"/>
    <n v="25000"/>
    <s v="Roof_Flat"/>
    <s v="High"/>
    <n v="175000"/>
    <n v="0"/>
    <m/>
    <m/>
    <x v="28"/>
    <n v="1.42"/>
    <n v="9.4700000000000006"/>
    <x v="8"/>
    <n v="1600"/>
  </r>
  <r>
    <s v="S of Castle Grayskull"/>
    <s v="Miramar Way"/>
    <s v="San Diego, CA 92145"/>
    <n v="92145"/>
    <s v="N"/>
    <n v="32.875937"/>
    <n v="-117.141077"/>
    <s v="Target"/>
    <n v="0.75"/>
    <s v="Red"/>
    <s v=""/>
    <n v="0.75"/>
    <m/>
    <n v="0"/>
    <m/>
    <s v="Existing"/>
    <m/>
    <n v="0"/>
    <n v="0"/>
    <m/>
    <m/>
    <x v="28"/>
    <n v="1.42"/>
    <n v="9.4700000000000006"/>
    <x v="8"/>
    <n v="1500"/>
  </r>
  <r>
    <s v="NE of Ops Bldg"/>
    <s v="Miramar Way"/>
    <s v="San Diego, CA 92145"/>
    <n v="92145"/>
    <s v="N"/>
    <n v="32.875095000000002"/>
    <n v="-117.139256"/>
    <s v="Roof_Flat"/>
    <n v="0.75"/>
    <m/>
    <s v=""/>
    <n v="0.75"/>
    <m/>
    <n v="0"/>
    <n v="23000"/>
    <s v="Roof_Flat"/>
    <s v="Medium"/>
    <n v="138000"/>
    <n v="0"/>
    <s v="Sparrow Rd &amp;amp; Phoenix"/>
    <m/>
    <x v="28"/>
    <n v="1.42"/>
    <n v="9.4700000000000006"/>
    <x v="8"/>
    <n v="2700"/>
  </r>
  <r>
    <s v="Hangars"/>
    <s v="Miramar Way"/>
    <s v="San Diego, CA 92145"/>
    <n v="92145"/>
    <s v="N"/>
    <n v="32.877130000000001"/>
    <n v="-117.12936999999999"/>
    <s v="Roof_Angled"/>
    <n v="0.75"/>
    <m/>
    <s v=""/>
    <n v="0.75"/>
    <m/>
    <n v="0"/>
    <n v="38000"/>
    <s v="Roof_Angled"/>
    <s v="Medium"/>
    <n v="228000"/>
    <n v="0"/>
    <s v="Skylights"/>
    <m/>
    <x v="28"/>
    <n v="1.42"/>
    <n v="9.4700000000000006"/>
    <x v="8"/>
    <n v="2400"/>
  </r>
  <r>
    <s v="E of Hangars"/>
    <s v="Miramar Way"/>
    <s v="San Diego, CA 92145"/>
    <n v="92145"/>
    <s v="N"/>
    <n v="32.877879"/>
    <n v="-117.124456"/>
    <s v="Roof_Flat"/>
    <n v="0.75"/>
    <m/>
    <s v=""/>
    <n v="0.75"/>
    <m/>
    <n v="0"/>
    <n v="29000"/>
    <s v="Roof_Flat"/>
    <s v="High"/>
    <n v="203000"/>
    <n v="0"/>
    <m/>
    <m/>
    <x v="28"/>
    <n v="1.42"/>
    <n v="9.4700000000000006"/>
    <x v="8"/>
    <n v="2100"/>
  </r>
  <r>
    <s v="NE of Barn Fitness Ctr"/>
    <s v="Miramar Way"/>
    <s v="San Diego, CA 92145"/>
    <n v="92145"/>
    <s v="N"/>
    <n v="32.883322"/>
    <n v="-117.133111"/>
    <s v="Roof_Flat"/>
    <n v="0.75"/>
    <m/>
    <s v=""/>
    <n v="0.75"/>
    <m/>
    <n v="0"/>
    <n v="45000"/>
    <s v="Roof_Flat"/>
    <s v="Medium"/>
    <n v="270000"/>
    <n v="0"/>
    <s v="Skylights"/>
    <m/>
    <x v="28"/>
    <n v="1.42"/>
    <n v="9.4700000000000006"/>
    <x v="8"/>
    <n v="100"/>
  </r>
  <r>
    <s v="E of NFCU "/>
    <s v="Miramar Way"/>
    <s v="San Diego, CA 92145"/>
    <n v="92145"/>
    <s v="N"/>
    <n v="32.882916999999999"/>
    <n v="-117.127959"/>
    <s v="Roof_Flat"/>
    <n v="0.75"/>
    <m/>
    <s v=""/>
    <n v="0.75"/>
    <m/>
    <n v="0"/>
    <n v="195000"/>
    <s v="Roof_Flat"/>
    <s v="High"/>
    <n v="1365000"/>
    <n v="0"/>
    <m/>
    <m/>
    <x v="28"/>
    <n v="1.42"/>
    <n v="9.4700000000000006"/>
    <x v="8"/>
    <n v="250"/>
  </r>
  <r>
    <s v="Housing 1"/>
    <s v="Miramar Way"/>
    <s v="San Diego, CA 92145"/>
    <n v="92145"/>
    <s v="N"/>
    <n v="32.884895999999998"/>
    <n v="-117.134483"/>
    <s v="Roof_Flat"/>
    <n v="0.75"/>
    <m/>
    <s v=""/>
    <n v="0.75"/>
    <m/>
    <n v="0"/>
    <n v="5800"/>
    <s v="Roof_Flat"/>
    <s v="Low"/>
    <n v="29000"/>
    <n v="0"/>
    <m/>
    <m/>
    <x v="28"/>
    <n v="1.42"/>
    <n v="9.4700000000000006"/>
    <x v="8"/>
    <n v="350"/>
  </r>
  <r>
    <s v="Housing 2"/>
    <s v="Miramar Way"/>
    <s v="San Diego, CA 92145"/>
    <n v="92145"/>
    <s v="N"/>
    <n v="32.886358000000001"/>
    <n v="-117.13375499999999"/>
    <s v="Roof_Flat"/>
    <n v="0.75"/>
    <m/>
    <s v=""/>
    <n v="0.75"/>
    <m/>
    <n v="0"/>
    <n v="11000"/>
    <s v="Roof_Flat"/>
    <s v="High"/>
    <n v="77000"/>
    <n v="0"/>
    <m/>
    <m/>
    <x v="28"/>
    <n v="1.42"/>
    <n v="9.4700000000000006"/>
    <x v="8"/>
    <n v="900"/>
  </r>
  <r>
    <s v="Housing 3"/>
    <s v="Miramar Way"/>
    <s v="San Diego, CA 92145"/>
    <n v="92145"/>
    <s v="N"/>
    <n v="32.886768000000004"/>
    <n v="-117.133177"/>
    <s v="Roof_Flat"/>
    <n v="0.75"/>
    <m/>
    <s v=""/>
    <n v="0.75"/>
    <m/>
    <n v="0"/>
    <n v="20000"/>
    <s v="Roof_Flat"/>
    <s v="High"/>
    <n v="140000"/>
    <n v="0"/>
    <m/>
    <m/>
    <x v="28"/>
    <n v="1.42"/>
    <n v="9.4700000000000006"/>
    <x v="8"/>
    <n v="1000"/>
  </r>
  <r>
    <s v="Unk Bldg E of Housing a"/>
    <s v="Miramar Way"/>
    <s v="San Diego, CA 92145"/>
    <n v="92145"/>
    <s v="N"/>
    <n v="32.884988999999997"/>
    <n v="-117.12974699999999"/>
    <s v="Roof_Angled"/>
    <n v="0.75"/>
    <m/>
    <s v=""/>
    <n v="0.75"/>
    <m/>
    <n v="0"/>
    <n v="22000"/>
    <s v="Roof_Angled"/>
    <s v="High"/>
    <n v="154000"/>
    <n v="0"/>
    <m/>
    <m/>
    <x v="28"/>
    <n v="1.42"/>
    <n v="9.4700000000000006"/>
    <x v="8"/>
    <n v="400"/>
  </r>
  <r>
    <s v="Unk Bldg E of Housing b"/>
    <s v="Miramar Way"/>
    <s v="San Diego, CA 92145"/>
    <n v="92145"/>
    <s v="N"/>
    <n v="32.885863999999998"/>
    <n v="-117.128694"/>
    <s v="Roof_Flat"/>
    <n v="0.75"/>
    <m/>
    <s v=""/>
    <n v="0.75"/>
    <m/>
    <n v="0"/>
    <n v="20000"/>
    <s v="Roof_Flat"/>
    <s v="High"/>
    <n v="140000"/>
    <n v="0"/>
    <m/>
    <m/>
    <x v="28"/>
    <n v="1.42"/>
    <n v="9.4700000000000006"/>
    <x v="8"/>
    <n v="700"/>
  </r>
  <r>
    <s v="Unk Bldg E of Housing c"/>
    <s v="Miramar Way"/>
    <s v="San Diego, CA 92145"/>
    <n v="92145"/>
    <s v="N"/>
    <n v="32.886747"/>
    <n v="-117.128281"/>
    <s v="Roof_Flat"/>
    <n v="0.75"/>
    <m/>
    <s v=""/>
    <n v="0.75"/>
    <m/>
    <n v="0"/>
    <n v="13000"/>
    <s v="Roof_Flat"/>
    <s v="High"/>
    <n v="91000"/>
    <n v="0"/>
    <m/>
    <m/>
    <x v="28"/>
    <n v="1.42"/>
    <n v="9.4700000000000006"/>
    <x v="8"/>
    <n v="1200"/>
  </r>
  <r>
    <s v="Unk Bldg E of Housing d"/>
    <s v="Miramar Way"/>
    <s v="San Diego, CA 92145"/>
    <n v="92145"/>
    <s v="N"/>
    <n v="32.887205999999999"/>
    <n v="-117.12743500000001"/>
    <s v="Roof_Flat"/>
    <n v="0.75"/>
    <m/>
    <s v=""/>
    <n v="0.75"/>
    <m/>
    <n v="0"/>
    <n v="13000"/>
    <s v="Roof_Flat"/>
    <s v="High"/>
    <n v="91000"/>
    <n v="0"/>
    <m/>
    <m/>
    <x v="28"/>
    <n v="1.42"/>
    <n v="9.4700000000000006"/>
    <x v="8"/>
    <n v="1200"/>
  </r>
  <r>
    <s v="Unk Bldg E of Housing e"/>
    <s v="Miramar Way"/>
    <s v="San Diego, CA 92145"/>
    <n v="92145"/>
    <s v="N"/>
    <n v="32.886552000000002"/>
    <n v="-117.12755"/>
    <s v="Roof_Flat"/>
    <n v="0.75"/>
    <m/>
    <s v=""/>
    <n v="0.75"/>
    <m/>
    <n v="0"/>
    <n v="26000"/>
    <s v="Roof_Flat"/>
    <s v="High"/>
    <n v="182000"/>
    <n v="0"/>
    <m/>
    <m/>
    <x v="28"/>
    <n v="1.42"/>
    <n v="9.4700000000000006"/>
    <x v="8"/>
    <n v="1200"/>
  </r>
  <r>
    <s v="Unk Bldg E of Housing f"/>
    <s v="Miramar Way"/>
    <s v="San Diego, CA 92145"/>
    <n v="92145"/>
    <s v="N"/>
    <n v="32.887241000000003"/>
    <n v="-117.126294"/>
    <s v="Roof_Flat"/>
    <n v="0.75"/>
    <m/>
    <s v=""/>
    <n v="0.75"/>
    <m/>
    <n v="0"/>
    <n v="13000"/>
    <s v="Roof_Flat"/>
    <s v="High"/>
    <n v="91000"/>
    <n v="0"/>
    <m/>
    <m/>
    <x v="28"/>
    <n v="1.42"/>
    <n v="9.4700000000000006"/>
    <x v="8"/>
    <n v="1300"/>
  </r>
  <r>
    <s v="Dental Clinic"/>
    <s v="Miramar Way"/>
    <s v="San Diego, CA 92145"/>
    <n v="92145"/>
    <s v="N"/>
    <n v="32.888288000000003"/>
    <n v="-117.130253"/>
    <s v="Roof_Flat"/>
    <n v="0.75"/>
    <m/>
    <s v=""/>
    <n v="0.75"/>
    <m/>
    <n v="0"/>
    <n v="16000"/>
    <s v="Roof_Flat"/>
    <s v="Medium"/>
    <n v="96000"/>
    <n v="0"/>
    <m/>
    <m/>
    <x v="28"/>
    <n v="1.42"/>
    <n v="9.4700000000000006"/>
    <x v="8"/>
    <n v="1600"/>
  </r>
  <r>
    <s v="E of Dental Clinic"/>
    <s v="Miramar Way"/>
    <s v="San Diego, CA 92145"/>
    <n v="92145"/>
    <s v="N"/>
    <n v="32.888713000000003"/>
    <n v="-117.12882"/>
    <s v="Roof_Flat"/>
    <n v="0.75"/>
    <m/>
    <s v=""/>
    <n v="0.75"/>
    <m/>
    <n v="0"/>
    <n v="13000"/>
    <s v="Roof_Flat"/>
    <s v="Medium"/>
    <n v="78000"/>
    <n v="0"/>
    <m/>
    <m/>
    <x v="28"/>
    <n v="1.42"/>
    <n v="9.4700000000000006"/>
    <x v="8"/>
    <n v="1700"/>
  </r>
  <r>
    <s v="Commissary"/>
    <s v="Miramar Way"/>
    <s v="San Diego, CA 92145"/>
    <n v="92145"/>
    <s v="N"/>
    <n v="32.892622000000003"/>
    <n v="-117.12539099999999"/>
    <s v="Roof_Flat"/>
    <n v="0.75"/>
    <m/>
    <s v=""/>
    <n v="0.75"/>
    <m/>
    <n v="0"/>
    <n v="92000"/>
    <s v="Roof_Flat"/>
    <s v="Medium"/>
    <n v="552000"/>
    <n v="0"/>
    <m/>
    <m/>
    <x v="28"/>
    <n v="1.42"/>
    <n v="9.4700000000000006"/>
    <x v="8"/>
    <n v="1400"/>
  </r>
  <r>
    <s v="MCX"/>
    <s v="Miramar Way"/>
    <s v="San Diego, CA 92145"/>
    <n v="92145"/>
    <s v="N"/>
    <n v="32.892761"/>
    <n v="-117.124065"/>
    <s v="Roof_Flat"/>
    <n v="0.75"/>
    <m/>
    <s v=""/>
    <n v="0.75"/>
    <m/>
    <n v="0"/>
    <n v="98000"/>
    <s v="Roof_Flat"/>
    <s v="Medium"/>
    <n v="588000"/>
    <n v="0"/>
    <m/>
    <m/>
    <x v="28"/>
    <n v="1.42"/>
    <n v="9.4700000000000006"/>
    <x v="8"/>
    <n v="1200"/>
  </r>
  <r>
    <s v="MWSS 373"/>
    <s v="Miramar Way"/>
    <s v="San Diego, CA 92145"/>
    <n v="92145"/>
    <s v="N"/>
    <n v="32.885382999999997"/>
    <n v="-117.12237500000001"/>
    <s v="Roof_Flat"/>
    <n v="0.75"/>
    <m/>
    <s v=""/>
    <n v="0.75"/>
    <m/>
    <n v="0"/>
    <n v="25000"/>
    <s v="Roof_Flat"/>
    <s v="Low"/>
    <n v="125000"/>
    <n v="0"/>
    <m/>
    <m/>
    <x v="28"/>
    <n v="1.42"/>
    <n v="9.4700000000000006"/>
    <x v="8"/>
    <n v="600"/>
  </r>
  <r>
    <s v="E of MWSS 373"/>
    <s v="Miramar Way"/>
    <s v="San Diego, CA 92145"/>
    <n v="92145"/>
    <s v="N"/>
    <n v="32.885348999999998"/>
    <n v="-117.12042"/>
    <s v="Roof_Flat"/>
    <n v="0.75"/>
    <m/>
    <s v=""/>
    <n v="0.75"/>
    <m/>
    <n v="0"/>
    <n v="11000"/>
    <s v="Roof_Flat"/>
    <s v="Low"/>
    <n v="55000"/>
    <n v="0"/>
    <m/>
    <m/>
    <x v="28"/>
    <n v="1.42"/>
    <n v="9.4700000000000006"/>
    <x v="8"/>
    <n v="500"/>
  </r>
  <r>
    <s v="NE1 of MWSS 373"/>
    <s v="Miramar Way"/>
    <s v="San Diego, CA 92145"/>
    <n v="92145"/>
    <s v="N"/>
    <n v="32.886296000000002"/>
    <n v="-117.12118700000001"/>
    <s v="Roof_Flat"/>
    <n v="0.75"/>
    <m/>
    <s v=""/>
    <n v="0.75"/>
    <m/>
    <n v="0"/>
    <n v="26000"/>
    <s v="Roof_Flat"/>
    <s v="Medium"/>
    <n v="156000"/>
    <n v="0"/>
    <m/>
    <m/>
    <x v="28"/>
    <n v="1.42"/>
    <n v="9.4700000000000006"/>
    <x v="8"/>
    <n v="800"/>
  </r>
  <r>
    <s v="N of MWSS 373"/>
    <s v="Miramar Way"/>
    <s v="San Diego, CA 92145"/>
    <n v="92145"/>
    <s v="N"/>
    <n v="32.887217999999997"/>
    <n v="-117.122221"/>
    <s v="Roof_Flat"/>
    <n v="0.75"/>
    <m/>
    <s v=""/>
    <n v="0.75"/>
    <m/>
    <n v="0"/>
    <n v="18000"/>
    <s v="Roof_Flat"/>
    <s v="Medium"/>
    <n v="108000"/>
    <n v="0"/>
    <m/>
    <m/>
    <x v="28"/>
    <n v="1.42"/>
    <n v="9.4700000000000006"/>
    <x v="8"/>
    <n v="1100"/>
  </r>
  <r>
    <s v="NE2 of MWSS 373"/>
    <s v="Miramar Way"/>
    <s v="San Diego, CA 92145"/>
    <n v="92145"/>
    <s v="N"/>
    <n v="32.887211999999998"/>
    <n v="-117.11999"/>
    <s v="Roof_Flat"/>
    <n v="0.75"/>
    <m/>
    <s v=""/>
    <n v="0.75"/>
    <m/>
    <n v="0"/>
    <n v="10000"/>
    <s v="Roof_Flat"/>
    <s v="Low"/>
    <n v="50000"/>
    <n v="0"/>
    <m/>
    <m/>
    <x v="28"/>
    <n v="1.42"/>
    <n v="9.4700000000000006"/>
    <x v="8"/>
    <n v="400"/>
  </r>
  <r>
    <s v="Unk Bldg Bauer &amp;amp; Maxam"/>
    <s v="Miramar Way"/>
    <s v="San Diego, CA 92145"/>
    <n v="92145"/>
    <s v="N"/>
    <n v="32.886763000000002"/>
    <n v="-117.11908"/>
    <s v="Roof_Flat"/>
    <n v="0.75"/>
    <m/>
    <s v=""/>
    <n v="0.75"/>
    <m/>
    <n v="0"/>
    <n v="7500"/>
    <s v="Roof_Flat"/>
    <s v="High"/>
    <n v="52500"/>
    <n v="0"/>
    <m/>
    <m/>
    <x v="28"/>
    <n v="1.42"/>
    <n v="9.4700000000000006"/>
    <x v="8"/>
    <n v="200"/>
  </r>
  <r>
    <s v="Unk Bldg Phipps &amp;amp; Maxam"/>
    <s v="Miramar Way"/>
    <s v="San Diego, CA 92145"/>
    <n v="92145"/>
    <s v="N"/>
    <n v="32.885778000000002"/>
    <n v="-117.11912100000001"/>
    <s v="Roof_Flat"/>
    <n v="0.75"/>
    <m/>
    <s v=""/>
    <n v="0.75"/>
    <m/>
    <n v="0"/>
    <n v="7500"/>
    <s v="Roof_Flat"/>
    <s v="High"/>
    <n v="52500"/>
    <n v="0"/>
    <m/>
    <m/>
    <x v="28"/>
    <n v="1.42"/>
    <n v="9.4700000000000006"/>
    <x v="8"/>
    <n v="300"/>
  </r>
  <r>
    <s v="Unk Huge Bldg Maxam"/>
    <s v="Miramar Way"/>
    <s v="San Diego, CA 92145"/>
    <n v="92145"/>
    <s v="N"/>
    <n v="32.886046"/>
    <n v="-117.11763000000001"/>
    <s v="Roof_Flat"/>
    <n v="0.75"/>
    <m/>
    <s v=""/>
    <n v="0.75"/>
    <m/>
    <n v="0"/>
    <n v="253000"/>
    <s v="Roof_Flat"/>
    <s v="High"/>
    <n v="1771000"/>
    <n v="0"/>
    <m/>
    <m/>
    <x v="28"/>
    <n v="1.42"/>
    <n v="9.4700000000000006"/>
    <x v="8"/>
    <n v="200"/>
  </r>
  <r>
    <s v="Unk Bldg NW of USPS"/>
    <s v="Miramar Way"/>
    <s v="San Diego, CA 92145"/>
    <n v="92145"/>
    <s v="N"/>
    <n v="32.890242000000001"/>
    <n v="-117.133954"/>
    <s v="Roof_Angled"/>
    <n v="0.75"/>
    <m/>
    <s v=""/>
    <n v="0.75"/>
    <m/>
    <n v="0"/>
    <n v="19000"/>
    <s v="Roof_Angled"/>
    <s v="High"/>
    <n v="133000"/>
    <n v="0"/>
    <m/>
    <m/>
    <x v="28"/>
    <n v="1.42"/>
    <n v="9.4700000000000006"/>
    <x v="8"/>
    <n v="2300"/>
  </r>
  <r>
    <s v="MCAS RV Storage"/>
    <s v="Miramar Way"/>
    <s v="San Diego, CA 92145"/>
    <n v="92145"/>
    <s v="N"/>
    <n v="32.882733999999999"/>
    <n v="-117.11166900000001"/>
    <s v="Pkg_Lot"/>
    <n v="0.75"/>
    <m/>
    <s v=""/>
    <n v="0.75"/>
    <m/>
    <n v="0"/>
    <n v="639000"/>
    <s v="Pkg_Lot"/>
    <s v="High"/>
    <n v="4473000"/>
    <n v="0"/>
    <m/>
    <m/>
    <x v="28"/>
    <n v="1.42"/>
    <n v="9.4700000000000006"/>
    <x v="8"/>
    <n v="700"/>
  </r>
  <r>
    <s v="FAA TRACON"/>
    <s v="9175 Kearny Villa Rd"/>
    <s v="San Diego, CA 92126"/>
    <n v="92126"/>
    <s v="N"/>
    <n v="32.891981000000001"/>
    <n v="-117.116573"/>
    <s v="Target"/>
    <n v="1"/>
    <s v="Red"/>
    <s v=""/>
    <n v="1"/>
    <m/>
    <n v="1"/>
    <m/>
    <s v="Existing"/>
    <m/>
    <n v="0"/>
    <n v="0"/>
    <m/>
    <m/>
    <x v="28"/>
    <n v="1.42"/>
    <n v="9.4700000000000006"/>
    <x v="8"/>
    <n v="500"/>
  </r>
  <r>
    <s v="Del Mar Highlands Town Ctr"/>
    <s v="12925 El Camino Real"/>
    <s v="San Diego, CA 92130"/>
    <n v="92130"/>
    <s v="N"/>
    <n v="32.952109"/>
    <n v="-117.23260399999999"/>
    <s v="Shopping"/>
    <n v="1.5"/>
    <m/>
    <s v="Total"/>
    <n v="1.25"/>
    <m/>
    <n v="8"/>
    <m/>
    <m/>
    <m/>
    <n v="0"/>
    <n v="2961000"/>
    <s v="two substations (830, 833)"/>
    <m/>
    <x v="29"/>
    <n v="1.5"/>
    <n v="9.98"/>
    <x v="0"/>
    <m/>
  </r>
  <r>
    <s v="Del Mar Highlands Pkg 1"/>
    <s v="12925 El Camino Real"/>
    <s v="San Diego, CA 92130"/>
    <n v="92130"/>
    <s v="N"/>
    <n v="32.953972"/>
    <n v="-117.230951"/>
    <s v="Pkg_Lot"/>
    <n v="0.75"/>
    <m/>
    <s v=""/>
    <n v="0.75"/>
    <m/>
    <n v="0"/>
    <n v="58000"/>
    <s v="Pkg_Lot"/>
    <s v="High"/>
    <n v="406000"/>
    <n v="0"/>
    <m/>
    <m/>
    <x v="30"/>
    <n v="1.4"/>
    <n v="9.35"/>
    <x v="0"/>
    <n v="0"/>
  </r>
  <r>
    <s v="Del Mar Highlands Pkg 2"/>
    <s v="12925 El Camino Real"/>
    <s v="San Diego, CA 92130"/>
    <n v="92130"/>
    <s v="N"/>
    <n v="32.953688999999997"/>
    <n v="-117.23208700000001"/>
    <s v="Pkg_Lot"/>
    <n v="0.75"/>
    <m/>
    <s v=""/>
    <n v="0.75"/>
    <m/>
    <n v="0"/>
    <n v="116000"/>
    <s v="Pkg_Lot"/>
    <s v="High"/>
    <n v="812000"/>
    <n v="0"/>
    <m/>
    <m/>
    <x v="30"/>
    <n v="1.4"/>
    <n v="9.35"/>
    <x v="0"/>
    <n v="0"/>
  </r>
  <r>
    <s v="Del Mar Highlands Pkg 3"/>
    <s v="12925 El Camino Real"/>
    <s v="San Diego, CA 92130"/>
    <n v="92130"/>
    <s v="N"/>
    <n v="32.952993999999997"/>
    <n v="-117.23325699999999"/>
    <s v="Pkg_Lot"/>
    <n v="0.75"/>
    <m/>
    <s v=""/>
    <n v="0.75"/>
    <m/>
    <n v="0"/>
    <n v="61000"/>
    <s v="Pkg_Lot"/>
    <s v="High"/>
    <n v="427000"/>
    <n v="0"/>
    <m/>
    <m/>
    <x v="30"/>
    <n v="1.4"/>
    <n v="9.35"/>
    <x v="0"/>
    <n v="0"/>
  </r>
  <r>
    <s v="Del Mar Highlands Pkg 4"/>
    <s v="12925 El Camino Real"/>
    <s v="San Diego, CA 92130"/>
    <n v="92130"/>
    <s v="N"/>
    <n v="32.952016"/>
    <n v="-117.233146"/>
    <s v="Pkg_Lot"/>
    <n v="0.75"/>
    <m/>
    <s v=""/>
    <n v="0.75"/>
    <m/>
    <n v="0"/>
    <n v="57000"/>
    <s v="Pkg_Lot"/>
    <s v="High"/>
    <n v="399000"/>
    <n v="0"/>
    <m/>
    <m/>
    <x v="30"/>
    <n v="1.4"/>
    <n v="9.35"/>
    <x v="0"/>
    <n v="0"/>
  </r>
  <r>
    <s v="Del Mar Highlands Pkg 5"/>
    <s v="12925 El Camino Real"/>
    <s v="San Diego, CA 92130"/>
    <n v="92130"/>
    <s v="N"/>
    <n v="32.950732000000002"/>
    <n v="-117.233547"/>
    <s v="Pkg_Lot"/>
    <n v="0.75"/>
    <m/>
    <s v=""/>
    <n v="0.75"/>
    <m/>
    <n v="0"/>
    <n v="71000"/>
    <s v="Pkg_Lot"/>
    <s v="High"/>
    <n v="497000"/>
    <n v="0"/>
    <m/>
    <m/>
    <x v="29"/>
    <n v="1.5"/>
    <n v="9.98"/>
    <x v="0"/>
    <n v="0"/>
  </r>
  <r>
    <s v="Del Mar Highlands Pkg 6"/>
    <s v="12925 El Camino Real"/>
    <s v="San Diego, CA 92130"/>
    <n v="92130"/>
    <s v="N"/>
    <n v="32.949756999999998"/>
    <n v="-117.233362"/>
    <s v="Pkg_Lot"/>
    <n v="0.75"/>
    <m/>
    <s v=""/>
    <n v="0.75"/>
    <m/>
    <n v="0"/>
    <n v="13000"/>
    <s v="Pkg_Lot"/>
    <s v="High"/>
    <n v="91000"/>
    <n v="0"/>
    <m/>
    <m/>
    <x v="29"/>
    <n v="1.5"/>
    <n v="9.98"/>
    <x v="0"/>
    <n v="0"/>
  </r>
  <r>
    <s v="Del Mar Highlands Pkg 7"/>
    <s v="12925 El Camino Real"/>
    <s v="San Diego, CA 92130"/>
    <n v="92130"/>
    <s v="N"/>
    <n v="32.951081000000002"/>
    <n v="-117.23232"/>
    <s v="Pkg_Lot"/>
    <n v="0.75"/>
    <m/>
    <s v=""/>
    <n v="0.75"/>
    <m/>
    <n v="0"/>
    <n v="47000"/>
    <s v="Pkg_Lot"/>
    <s v="High"/>
    <n v="329000"/>
    <n v="0"/>
    <m/>
    <m/>
    <x v="29"/>
    <n v="1.5"/>
    <n v="9.98"/>
    <x v="0"/>
    <n v="0"/>
  </r>
  <r>
    <s v="Torrey Pines High School"/>
    <s v="3710 Del Mar Heights Rd"/>
    <s v="San Diego, CA 92130"/>
    <n v="92130"/>
    <s v="N"/>
    <n v="32.958885000000002"/>
    <n v="-117.227204"/>
    <s v="Edu"/>
    <n v="1"/>
    <m/>
    <s v=""/>
    <n v="1"/>
    <m/>
    <n v="1"/>
    <n v="350000"/>
    <s v="Pkg_Lot"/>
    <s v="High"/>
    <n v="2450000"/>
    <n v="2450000"/>
    <m/>
    <m/>
    <x v="0"/>
    <n v="1.33"/>
    <n v="8.8800000000000008"/>
    <x v="0"/>
    <n v="0"/>
  </r>
  <r>
    <s v="Cathedral Catholic High School"/>
    <s v="5555 Del Mar Heights Rd"/>
    <s v="San Diego, CA 92130"/>
    <n v="92130"/>
    <s v="N"/>
    <n v="32.959659000000002"/>
    <n v="-117.201821"/>
    <s v="Edu"/>
    <n v="1.5"/>
    <m/>
    <s v="Total"/>
    <n v="1.25"/>
    <m/>
    <n v="6"/>
    <m/>
    <m/>
    <m/>
    <n v="0"/>
    <n v="2506000"/>
    <m/>
    <m/>
    <x v="31"/>
    <n v="1.01"/>
    <n v="6.75"/>
    <x v="0"/>
    <m/>
  </r>
  <r>
    <s v="CCHS Pkg 1"/>
    <s v="5555 Del Mar Heights Rd"/>
    <s v="San Diego, CA 92130"/>
    <n v="92130"/>
    <s v="N"/>
    <n v="32.961353000000003"/>
    <n v="-117.20347700000001"/>
    <s v="Pkg_Lot"/>
    <n v="0.75"/>
    <m/>
    <s v=""/>
    <n v="0.75"/>
    <m/>
    <n v="0"/>
    <n v="75000"/>
    <s v="Pkg_Lot"/>
    <s v="High"/>
    <n v="525000"/>
    <n v="0"/>
    <m/>
    <m/>
    <x v="31"/>
    <n v="1.01"/>
    <n v="6.75"/>
    <x v="0"/>
    <n v="0"/>
  </r>
  <r>
    <s v="CCHS Pkg 2"/>
    <s v="5555 Del Mar Heights Rd"/>
    <s v="San Diego, CA 92130"/>
    <n v="92130"/>
    <s v="N"/>
    <n v="32.960861999999999"/>
    <n v="-117.20206899999999"/>
    <s v="Pkg_Lot"/>
    <n v="0.75"/>
    <m/>
    <s v=""/>
    <n v="0.75"/>
    <m/>
    <n v="0"/>
    <n v="104000"/>
    <s v="Pkg_Lot"/>
    <s v="High"/>
    <n v="728000"/>
    <n v="0"/>
    <m/>
    <m/>
    <x v="31"/>
    <n v="1.01"/>
    <n v="6.75"/>
    <x v="0"/>
    <n v="0"/>
  </r>
  <r>
    <s v="CCHS Pkg 3"/>
    <s v="5555 Del Mar Heights Rd"/>
    <s v="San Diego, CA 92130"/>
    <n v="92130"/>
    <s v="N"/>
    <n v="32.960661000000002"/>
    <n v="-117.19996500000001"/>
    <s v="Pkg_Lot"/>
    <n v="0.75"/>
    <m/>
    <s v=""/>
    <n v="0.75"/>
    <m/>
    <n v="0"/>
    <n v="50000"/>
    <s v="Pkg_Lot"/>
    <s v="High"/>
    <n v="350000"/>
    <n v="0"/>
    <m/>
    <m/>
    <x v="31"/>
    <n v="1.01"/>
    <n v="6.75"/>
    <x v="0"/>
    <n v="0"/>
  </r>
  <r>
    <s v="CCHS Pkg 4"/>
    <s v="5555 Del Mar Heights Rd"/>
    <s v="San Diego, CA 92130"/>
    <n v="92130"/>
    <s v="N"/>
    <n v="32.960538999999997"/>
    <n v="-117.198358"/>
    <s v="Pkg_Lot"/>
    <n v="0.75"/>
    <m/>
    <s v=""/>
    <n v="0.75"/>
    <m/>
    <n v="0"/>
    <n v="25000"/>
    <s v="Pkg_Lot"/>
    <s v="High"/>
    <n v="175000"/>
    <n v="0"/>
    <m/>
    <m/>
    <x v="31"/>
    <n v="1.01"/>
    <n v="6.75"/>
    <x v="0"/>
    <n v="0"/>
  </r>
  <r>
    <s v="CCHS Pkg 5"/>
    <s v="5555 Del Mar Heights Rd"/>
    <s v="San Diego, CA 92130"/>
    <n v="92130"/>
    <s v="N"/>
    <n v="32.958722000000002"/>
    <n v="-117.199321"/>
    <s v="Pkg_Lot"/>
    <n v="0.75"/>
    <m/>
    <s v=""/>
    <n v="0.75"/>
    <m/>
    <n v="0"/>
    <n v="104000"/>
    <s v="Pkg_Lot"/>
    <s v="High"/>
    <n v="728000"/>
    <n v="0"/>
    <m/>
    <m/>
    <x v="31"/>
    <n v="1.01"/>
    <n v="6.75"/>
    <x v="0"/>
    <n v="50"/>
  </r>
  <r>
    <s v="Westview High School"/>
    <s v="13500 Camino Del Sur"/>
    <s v="San Diego, CA 92129"/>
    <n v="92129"/>
    <s v="N"/>
    <n v="32.967170000000003"/>
    <n v="-117.14935199999999"/>
    <s v="Edu"/>
    <n v="1.5"/>
    <m/>
    <s v="Total"/>
    <n v="1.25"/>
    <m/>
    <n v="3"/>
    <m/>
    <m/>
    <m/>
    <n v="0"/>
    <n v="1764000"/>
    <m/>
    <m/>
    <x v="32"/>
    <n v="1.23"/>
    <n v="8.17"/>
    <x v="3"/>
    <m/>
  </r>
  <r>
    <s v="Westview HS Pkg 1"/>
    <s v="13500 Camino Del Sur"/>
    <s v="San Diego, CA 92129"/>
    <n v="92129"/>
    <s v="N"/>
    <n v="32.967706999999997"/>
    <n v="-117.147418"/>
    <s v="Pkg_Lot"/>
    <n v="0.75"/>
    <m/>
    <s v=""/>
    <n v="0.75"/>
    <m/>
    <n v="0"/>
    <n v="101000"/>
    <s v="Pkg_Lot"/>
    <s v="High"/>
    <n v="707000"/>
    <n v="0"/>
    <m/>
    <m/>
    <x v="32"/>
    <n v="1.23"/>
    <n v="8.17"/>
    <x v="3"/>
    <n v="50"/>
  </r>
  <r>
    <s v="Westview HS Pkg 2"/>
    <s v="13500 Camino Del Sur"/>
    <s v="San Diego, CA 92129"/>
    <n v="92129"/>
    <s v="N"/>
    <n v="32.966009"/>
    <n v="-117.14801"/>
    <s v="Pkg_Lot"/>
    <n v="0.75"/>
    <m/>
    <s v=""/>
    <n v="0.75"/>
    <m/>
    <n v="0"/>
    <n v="151000"/>
    <s v="Pkg_Lot"/>
    <s v="High"/>
    <n v="1057000"/>
    <n v="0"/>
    <m/>
    <m/>
    <x v="32"/>
    <n v="1.23"/>
    <n v="8.17"/>
    <x v="3"/>
    <n v="0"/>
  </r>
  <r>
    <s v="Near Black Mtn Ranch Park"/>
    <s v="14700 Carmel Valley Rd"/>
    <s v="San Diego, CA 92129"/>
    <n v="92129"/>
    <s v="N"/>
    <n v="32.985398000000004"/>
    <n v="-117.12731100000001"/>
    <s v="Water"/>
    <n v="1"/>
    <m/>
    <s v=""/>
    <n v="1"/>
    <m/>
    <n v="1"/>
    <n v="160000"/>
    <s v="Pkg_Lot"/>
    <s v="High"/>
    <n v="1120000"/>
    <n v="1120000"/>
    <m/>
    <m/>
    <x v="33"/>
    <n v="1.04"/>
    <n v="6.91"/>
    <x v="11"/>
    <n v="0"/>
  </r>
  <r>
    <s v="Mt. Carmel High School Pkg Lot"/>
    <s v="9550 Carmel Mountain Rd"/>
    <s v="San Diego, CA 92129"/>
    <n v="92129"/>
    <s v="N"/>
    <n v="32.967370000000003"/>
    <n v="-117.119721"/>
    <s v="Edu"/>
    <n v="1"/>
    <m/>
    <s v=""/>
    <n v="1"/>
    <m/>
    <n v="1"/>
    <n v="187000"/>
    <s v="Pkg_Lot"/>
    <s v="High"/>
    <n v="1309000"/>
    <n v="1309000"/>
    <m/>
    <m/>
    <x v="33"/>
    <n v="1.04"/>
    <n v="6.91"/>
    <x v="11"/>
    <n v="0"/>
  </r>
  <r>
    <s v="Rancho Penasquitos Towne Ctr"/>
    <s v="13189 Black Mountain Rd"/>
    <s v="San Diego, CA 92129"/>
    <n v="92129"/>
    <s v="N"/>
    <n v="32.957729"/>
    <n v="-117.12648799999999"/>
    <s v="Shopping"/>
    <n v="1.5"/>
    <m/>
    <s v="Total"/>
    <n v="1.25"/>
    <m/>
    <n v="4"/>
    <m/>
    <m/>
    <m/>
    <n v="0"/>
    <n v="1085000"/>
    <m/>
    <m/>
    <x v="34"/>
    <n v="1.08"/>
    <n v="7.19"/>
    <x v="11"/>
    <m/>
  </r>
  <r>
    <s v="Rancho Penasquitos TC Pkg Lot S"/>
    <s v="13189 Black Mountain Rd"/>
    <s v="San Diego, CA 92129"/>
    <n v="92129"/>
    <s v="N"/>
    <n v="32.957160000000002"/>
    <n v="-117.126808"/>
    <s v="Pkg_Lot"/>
    <n v="0.75"/>
    <m/>
    <s v=""/>
    <n v="0.75"/>
    <m/>
    <n v="0"/>
    <n v="66000"/>
    <s v="Pkg_Lot"/>
    <s v="High"/>
    <n v="462000"/>
    <n v="0"/>
    <m/>
    <m/>
    <x v="34"/>
    <n v="1.08"/>
    <n v="7.19"/>
    <x v="11"/>
    <n v="0"/>
  </r>
  <r>
    <s v="Rancho Penasquitos TC Pkg Lot N"/>
    <s v="13189 Black Mountain Rd"/>
    <s v="San Diego, CA 92129"/>
    <n v="92129"/>
    <s v="N"/>
    <n v="32.958362999999999"/>
    <n v="-117.125772"/>
    <s v="Pkg_Lot"/>
    <n v="0.75"/>
    <m/>
    <s v=""/>
    <n v="0.75"/>
    <m/>
    <n v="0"/>
    <n v="59000"/>
    <s v="Pkg_Lot"/>
    <s v="High"/>
    <n v="413000"/>
    <n v="0"/>
    <m/>
    <m/>
    <x v="34"/>
    <n v="1.08"/>
    <n v="7.19"/>
    <x v="11"/>
    <n v="0"/>
  </r>
  <r>
    <s v="Rancho Penasquitos Vons roof"/>
    <s v="13189 Black Mountain Rd"/>
    <s v="San Diego, CA 92129"/>
    <n v="92129"/>
    <s v="N"/>
    <n v="32.957996999999999"/>
    <n v="-117.125089"/>
    <s v="Roof_Flat"/>
    <n v="0.75"/>
    <m/>
    <s v=""/>
    <n v="0.75"/>
    <m/>
    <n v="0"/>
    <n v="30000"/>
    <s v="Roof_Flat"/>
    <s v="High"/>
    <n v="210000"/>
    <n v="0"/>
    <m/>
    <m/>
    <x v="34"/>
    <n v="1.08"/>
    <n v="7.19"/>
    <x v="11"/>
    <n v="100"/>
  </r>
  <r>
    <s v="Torrey Pines Golf Course Pkg"/>
    <s v="11480 N Torrey Pines Rd"/>
    <s v="La Jolla, CA 92037"/>
    <n v="92037"/>
    <s v="S"/>
    <n v="32.905391000000002"/>
    <n v="-117.24413199999999"/>
    <s v="Pkg_Lot"/>
    <n v="1"/>
    <m/>
    <s v=""/>
    <n v="1"/>
    <m/>
    <n v="1"/>
    <n v="126000"/>
    <s v="Pkg_Lot"/>
    <s v="High"/>
    <n v="882000"/>
    <n v="882000"/>
    <m/>
    <m/>
    <x v="35"/>
    <n v="1.5"/>
    <n v="10"/>
    <x v="1"/>
    <n v="0"/>
  </r>
  <r>
    <s v="Unk at 10670 John J Hopkins Dr"/>
    <s v="10670 John J Hopkins Dr"/>
    <s v="San Diego, CA 92121"/>
    <n v="92121"/>
    <s v="N"/>
    <n v="32.896659999999997"/>
    <n v="-117.240979"/>
    <s v="Biz"/>
    <n v="1.5"/>
    <m/>
    <s v="Total"/>
    <n v="1.25"/>
    <m/>
    <n v="4"/>
    <m/>
    <m/>
    <m/>
    <n v="0"/>
    <n v="1190000"/>
    <m/>
    <m/>
    <x v="15"/>
    <n v="1.5"/>
    <n v="10"/>
    <x v="1"/>
    <m/>
  </r>
  <r>
    <s v="10670 John J Hopkins Pkg 1"/>
    <s v="10670 John J Hopkins Dr"/>
    <s v="San Diego, CA 92121"/>
    <n v="92121"/>
    <s v="N"/>
    <n v="32.897519000000003"/>
    <n v="-117.24122"/>
    <s v="Pkg_Lot"/>
    <n v="0.75"/>
    <m/>
    <s v=""/>
    <n v="0.75"/>
    <m/>
    <n v="0"/>
    <n v="53000"/>
    <s v="Pkg_Lot"/>
    <s v="High"/>
    <n v="371000"/>
    <n v="0"/>
    <m/>
    <m/>
    <x v="15"/>
    <n v="1.5"/>
    <n v="10"/>
    <x v="1"/>
    <n v="200"/>
  </r>
  <r>
    <s v="10670 John J Hopkins Pkg 2"/>
    <s v="10670 John J Hopkins Dr"/>
    <s v="San Diego, CA 92121"/>
    <n v="92121"/>
    <s v="N"/>
    <n v="32.897005"/>
    <n v="-117.240289"/>
    <s v="Pkg_Lot"/>
    <n v="0.75"/>
    <m/>
    <s v=""/>
    <n v="0.75"/>
    <m/>
    <n v="0"/>
    <n v="87000"/>
    <s v="Pkg_Lot"/>
    <s v="High"/>
    <n v="609000"/>
    <n v="0"/>
    <m/>
    <m/>
    <x v="15"/>
    <n v="1.5"/>
    <n v="10"/>
    <x v="1"/>
    <n v="0"/>
  </r>
  <r>
    <s v="10670 John J Hopkins Pkg 3"/>
    <s v="10670 John J Hopkins Dr"/>
    <s v="San Diego, CA 92121"/>
    <n v="92121"/>
    <s v="N"/>
    <n v="32.896067000000002"/>
    <n v="-117.240652"/>
    <s v="Pkg_Lot"/>
    <n v="0.75"/>
    <m/>
    <s v=""/>
    <n v="0.75"/>
    <m/>
    <n v="0"/>
    <n v="30000"/>
    <s v="Pkg_Lot"/>
    <s v="High"/>
    <n v="210000"/>
    <n v="0"/>
    <m/>
    <m/>
    <x v="15"/>
    <n v="1.5"/>
    <n v="10"/>
    <x v="1"/>
    <n v="100"/>
  </r>
  <r>
    <s v="Leidos Pkg"/>
    <s v="4161 Campus Point Ct"/>
    <s v="San Diego, CA 92121"/>
    <n v="92121"/>
    <s v="N"/>
    <n v="32.890380999999998"/>
    <n v="-117.22502799999999"/>
    <s v="Pkg_Lot"/>
    <n v="1"/>
    <m/>
    <s v=""/>
    <n v="1"/>
    <m/>
    <n v="1"/>
    <n v="244000"/>
    <s v="Pkg_Lot"/>
    <s v="High"/>
    <n v="1708000"/>
    <n v="1708000"/>
    <m/>
    <m/>
    <x v="36"/>
    <n v="1.5"/>
    <n v="10"/>
    <x v="12"/>
    <n v="200"/>
  </r>
  <r>
    <s v="Lilly Biotechnology Center"/>
    <s v="10290 Campus Point Dr"/>
    <s v="San Diego, CA 92121"/>
    <n v="92121"/>
    <s v="N"/>
    <n v="32.890678999999999"/>
    <n v="-117.223321"/>
    <s v="Biz"/>
    <n v="1.5"/>
    <m/>
    <s v="Total"/>
    <n v="1.25"/>
    <m/>
    <n v="5"/>
    <m/>
    <m/>
    <m/>
    <n v="0"/>
    <n v="2562000"/>
    <m/>
    <m/>
    <x v="37"/>
    <n v="1.46"/>
    <n v="9.74"/>
    <x v="12"/>
    <m/>
  </r>
  <r>
    <s v="Lilly Biotech Ctr Pkg 1"/>
    <s v="10290 Campus Point Dr"/>
    <s v="San Diego, CA 92121"/>
    <n v="92121"/>
    <s v="N"/>
    <n v="32.892449999999997"/>
    <n v="-117.22531499999999"/>
    <s v="Pkg_Lot"/>
    <n v="0.75"/>
    <m/>
    <s v=""/>
    <n v="0.75"/>
    <m/>
    <n v="0"/>
    <n v="163000"/>
    <s v="Pkg_Lot"/>
    <s v="High"/>
    <n v="1141000"/>
    <n v="0"/>
    <m/>
    <m/>
    <x v="37"/>
    <n v="1.46"/>
    <n v="9.74"/>
    <x v="12"/>
    <n v="50"/>
  </r>
  <r>
    <s v="Lilly Biotech Ctr Pkg 2"/>
    <s v="10290 Campus Point Dr"/>
    <s v="San Diego, CA 92121"/>
    <n v="92121"/>
    <s v="N"/>
    <n v="32.891621000000001"/>
    <n v="-117.224327"/>
    <s v="Pkg_Lot"/>
    <n v="0.75"/>
    <m/>
    <s v=""/>
    <n v="0.75"/>
    <m/>
    <n v="0"/>
    <n v="105000"/>
    <s v="Pkg_Lot"/>
    <s v="High"/>
    <n v="735000"/>
    <n v="0"/>
    <m/>
    <m/>
    <x v="37"/>
    <n v="1.46"/>
    <n v="9.74"/>
    <x v="12"/>
    <n v="200"/>
  </r>
  <r>
    <s v="Lilly Biotech Ctr Pkg 3"/>
    <s v="10290 Campus Point Dr"/>
    <s v="San Diego, CA 92121"/>
    <n v="92121"/>
    <s v="N"/>
    <n v="32.890610000000002"/>
    <n v="-117.223804"/>
    <s v="Pkg_Lot"/>
    <n v="0.75"/>
    <m/>
    <s v=""/>
    <n v="0.75"/>
    <m/>
    <n v="0"/>
    <n v="47000"/>
    <s v="Pkg_Lot"/>
    <s v="High"/>
    <n v="329000"/>
    <n v="0"/>
    <m/>
    <m/>
    <x v="37"/>
    <n v="1.46"/>
    <n v="9.74"/>
    <x v="12"/>
    <n v="50"/>
  </r>
  <r>
    <s v="Lilly Biotech Ctr Pkg 4"/>
    <s v="10290 Campus Point Dr"/>
    <s v="San Diego, CA 92121"/>
    <n v="92121"/>
    <s v="N"/>
    <n v="32.890017999999998"/>
    <n v="-117.222943"/>
    <s v="Pkg_Lot"/>
    <n v="0.75"/>
    <m/>
    <s v=""/>
    <n v="0.75"/>
    <m/>
    <n v="0"/>
    <n v="51000"/>
    <s v="Pkg_Lot"/>
    <s v="High"/>
    <n v="357000"/>
    <n v="0"/>
    <m/>
    <m/>
    <x v="37"/>
    <n v="1.46"/>
    <n v="9.74"/>
    <x v="12"/>
    <n v="50"/>
  </r>
  <r>
    <s v="UCSD CALM"/>
    <s v="10300 Campus Point Dr"/>
    <s v="San Diego, CA 92121"/>
    <n v="92121"/>
    <s v="N"/>
    <n v="32.893166000000001"/>
    <n v="-117.22399799999999"/>
    <s v="Biz"/>
    <n v="1.5"/>
    <m/>
    <s v="Total"/>
    <n v="1.25"/>
    <m/>
    <n v="6"/>
    <m/>
    <m/>
    <m/>
    <m/>
    <n v="2429000"/>
    <m/>
    <m/>
    <x v="37"/>
    <n v="1.46"/>
    <n v="9.74"/>
    <x v="12"/>
    <m/>
  </r>
  <r>
    <s v="UCSD CALM Pkg 1"/>
    <s v="10300 Campus Point Dr"/>
    <s v="San Diego, CA 92121"/>
    <n v="92121"/>
    <s v="N"/>
    <n v="32.894925000000001"/>
    <n v="-117.22433700000001"/>
    <s v="Pkg_Lot"/>
    <n v="0.75"/>
    <m/>
    <s v=""/>
    <n v="0.75"/>
    <m/>
    <n v="0"/>
    <n v="112000"/>
    <s v="Pkg_Lot"/>
    <s v="High"/>
    <n v="784000"/>
    <n v="0"/>
    <m/>
    <m/>
    <x v="37"/>
    <n v="1.46"/>
    <n v="9.74"/>
    <x v="12"/>
    <n v="600"/>
  </r>
  <r>
    <s v="UCSD CALM Pkg 2"/>
    <s v="10300 Campus Point Dr"/>
    <s v="San Diego, CA 92121"/>
    <n v="92121"/>
    <s v="N"/>
    <n v="32.893585999999999"/>
    <n v="-117.224926"/>
    <s v="Pkg_Lot"/>
    <n v="0.75"/>
    <m/>
    <s v=""/>
    <n v="0.75"/>
    <m/>
    <n v="0"/>
    <n v="76000"/>
    <s v="Pkg_Lot"/>
    <s v="High"/>
    <n v="532000"/>
    <n v="0"/>
    <m/>
    <m/>
    <x v="37"/>
    <n v="1.46"/>
    <n v="9.74"/>
    <x v="12"/>
    <n v="300"/>
  </r>
  <r>
    <s v="UCSD CALM Pkg 3"/>
    <s v="10300 Campus Point Dr"/>
    <s v="San Diego, CA 92121"/>
    <n v="92121"/>
    <s v="N"/>
    <n v="32.892184"/>
    <n v="-117.223451"/>
    <s v="Pkg_Lot"/>
    <n v="0.75"/>
    <m/>
    <s v=""/>
    <n v="0.75"/>
    <m/>
    <n v="0"/>
    <n v="52000"/>
    <s v="Pkg_Lot"/>
    <s v="High"/>
    <n v="364000"/>
    <n v="0"/>
    <m/>
    <m/>
    <x v="37"/>
    <n v="1.46"/>
    <n v="9.74"/>
    <x v="12"/>
    <n v="0"/>
  </r>
  <r>
    <s v="UCSD CALM Pkg 4"/>
    <s v="10300 Campus Point Dr"/>
    <s v="San Diego, CA 92121"/>
    <n v="92121"/>
    <s v="N"/>
    <n v="32.891627999999997"/>
    <n v="-117.222675"/>
    <s v="Pkg_Lot"/>
    <n v="0.75"/>
    <m/>
    <s v=""/>
    <n v="0.75"/>
    <m/>
    <n v="0"/>
    <n v="82000"/>
    <s v="Pkg_Lot"/>
    <s v="High"/>
    <n v="574000"/>
    <n v="0"/>
    <m/>
    <m/>
    <x v="37"/>
    <n v="1.46"/>
    <n v="9.74"/>
    <x v="12"/>
    <n v="0"/>
  </r>
  <r>
    <s v="UCSD CALM Pkg 5"/>
    <s v="10300 Campus Point Dr"/>
    <s v="San Diego, CA 92121"/>
    <n v="92121"/>
    <s v="N"/>
    <n v="32.893388000000002"/>
    <n v="-117.22236599999999"/>
    <s v="Pkg_Lot"/>
    <n v="0.75"/>
    <m/>
    <s v=""/>
    <n v="0.75"/>
    <m/>
    <n v="0"/>
    <n v="25000"/>
    <s v="Pkg_Lot"/>
    <s v="High"/>
    <n v="175000"/>
    <n v="0"/>
    <m/>
    <m/>
    <x v="37"/>
    <n v="1.46"/>
    <n v="9.74"/>
    <x v="12"/>
    <n v="700"/>
  </r>
  <r>
    <s v="UCSD"/>
    <s v="9500 Gilman Dr"/>
    <s v="La Jolla, CA 92093"/>
    <n v="92093"/>
    <s v="S"/>
    <n v="32.875435000000003"/>
    <n v="-117.235429"/>
    <s v="Pkg_Lot"/>
    <n v="1.5"/>
    <m/>
    <s v="Total"/>
    <n v="1.25"/>
    <m/>
    <n v="31"/>
    <m/>
    <m/>
    <m/>
    <n v="0"/>
    <n v="17815000"/>
    <s v="Varying address forms"/>
    <m/>
    <x v="38"/>
    <m/>
    <m/>
    <x v="13"/>
    <m/>
  </r>
  <r>
    <s v="Sanford Consortium for Regen Med Pkg 1"/>
    <s v="9500 Gilman Dr"/>
    <s v="La Jolla, CA 92093"/>
    <n v="92093"/>
    <s v="S"/>
    <n v="32.888478999999997"/>
    <n v="-117.24496000000001"/>
    <s v="Pkg_Lot"/>
    <n v="0.75"/>
    <m/>
    <s v=""/>
    <n v="0.75"/>
    <m/>
    <n v="0"/>
    <n v="55000"/>
    <s v="Pkg_Lot"/>
    <s v="High"/>
    <n v="385000"/>
    <n v="0"/>
    <s v="2880 Torrey Pines Scenic Dr, La Jolla, CA 92037"/>
    <m/>
    <x v="39"/>
    <n v="1.24"/>
    <n v="8.26"/>
    <x v="14"/>
    <n v="250"/>
  </r>
  <r>
    <s v="Sanford Consortium for Regen Med Pkg 2"/>
    <s v="9500 Gilman Dr"/>
    <s v="La Jolla, CA 92093"/>
    <n v="92093"/>
    <s v="S"/>
    <n v="32.888432000000002"/>
    <n v="-117.24404"/>
    <s v="Pkg_Lot"/>
    <n v="0.75"/>
    <m/>
    <s v=""/>
    <n v="0.75"/>
    <m/>
    <n v="0"/>
    <n v="71000"/>
    <s v="Pkg_Lot"/>
    <s v="High"/>
    <n v="497000"/>
    <n v="0"/>
    <s v="2880 Torrey Pines Scenic Dr, La Jolla, CA 92037"/>
    <m/>
    <x v="39"/>
    <n v="1.24"/>
    <n v="8.26"/>
    <x v="14"/>
    <n v="100"/>
  </r>
  <r>
    <s v="Salk Inst Pkg W"/>
    <s v="9500 Gilman Dr"/>
    <s v="La Jolla, CA 92093"/>
    <n v="92093"/>
    <s v="S"/>
    <n v="32.888340999999997"/>
    <n v="-117.248369"/>
    <s v="Pkg_Lot"/>
    <n v="0.75"/>
    <m/>
    <s v=""/>
    <n v="0.75"/>
    <m/>
    <n v="0"/>
    <n v="118000"/>
    <s v="Pkg_Lot"/>
    <s v="High"/>
    <n v="826000"/>
    <n v="0"/>
    <s v="10010 N Torrey Pines Rd"/>
    <m/>
    <x v="39"/>
    <n v="1.24"/>
    <n v="8.26"/>
    <x v="14"/>
    <n v="1000"/>
  </r>
  <r>
    <s v="Salk Inst Pkg E"/>
    <s v="9500 Gilman Dr"/>
    <s v="La Jolla, CA 92093"/>
    <n v="92093"/>
    <s v="S"/>
    <n v="32.887138999999998"/>
    <n v="-117.244365"/>
    <s v="Pkg_Lot"/>
    <n v="0.75"/>
    <m/>
    <s v=""/>
    <n v="0.75"/>
    <m/>
    <n v="0"/>
    <n v="52000"/>
    <s v="Pkg_Lot"/>
    <s v="High"/>
    <n v="364000"/>
    <n v="0"/>
    <s v="10010 N Torrey Pines Rd"/>
    <m/>
    <x v="39"/>
    <n v="1.24"/>
    <n v="8.26"/>
    <x v="14"/>
    <n v="100"/>
  </r>
  <r>
    <s v="Int'l House Pkg Garage"/>
    <s v="9500 Gilman Dr"/>
    <s v="La Jolla, CA 92093"/>
    <n v="92093"/>
    <s v="S"/>
    <n v="32.884179000000003"/>
    <n v="-117.24306900000001"/>
    <s v="Pkg_Garage"/>
    <n v="0.75"/>
    <m/>
    <s v=""/>
    <n v="0.75"/>
    <m/>
    <n v="0"/>
    <n v="54000"/>
    <s v="Pkg_Garage"/>
    <s v="High"/>
    <n v="378000"/>
    <n v="0"/>
    <s v="9500 Gilman Dr, La Jolla, CA 92093"/>
    <m/>
    <x v="39"/>
    <n v="1.24"/>
    <n v="8.26"/>
    <x v="14"/>
    <n v="250"/>
  </r>
  <r>
    <s v="Hopkins Pkg Structure"/>
    <s v="9500 Gilman Dr"/>
    <s v="La Jolla, CA 92093"/>
    <n v="92093"/>
    <s v="S"/>
    <n v="32.883771000000003"/>
    <n v="-117.239296"/>
    <s v="Target"/>
    <n v="0.75"/>
    <s v="Red"/>
    <s v=""/>
    <n v="0.75"/>
    <m/>
    <n v="0"/>
    <m/>
    <s v="Existing"/>
    <m/>
    <n v="0"/>
    <n v="0"/>
    <s v="9500 Gilman Drive 0512, Thurgood Marshall College, La Jolla, CA 92037"/>
    <m/>
    <x v="39"/>
    <n v="1.24"/>
    <n v="8.26"/>
    <x v="14"/>
    <n v="250"/>
  </r>
  <r>
    <s v="Lot P304"/>
    <s v="9500 Gilman Dr"/>
    <s v="La Jolla, CA 92093"/>
    <n v="92093"/>
    <s v="S"/>
    <n v="32.882455"/>
    <n v="-117.24270300000001"/>
    <s v="Pkg_Lot"/>
    <n v="0.75"/>
    <m/>
    <s v=""/>
    <n v="0.75"/>
    <m/>
    <n v="0"/>
    <n v="19000"/>
    <s v="Pkg_Lot"/>
    <s v="High"/>
    <n v="133000"/>
    <n v="0"/>
    <s v="La Jolla, CA 92037"/>
    <m/>
    <x v="39"/>
    <n v="1.24"/>
    <n v="8.26"/>
    <x v="14"/>
    <n v="300"/>
  </r>
  <r>
    <s v="Lot P303"/>
    <s v="9500 Gilman Dr"/>
    <s v="La Jolla, CA 92093"/>
    <n v="92093"/>
    <s v="S"/>
    <n v="32.881481999999998"/>
    <n v="-117.242705"/>
    <s v="Pkg_Lot"/>
    <n v="0.75"/>
    <m/>
    <s v=""/>
    <n v="0.75"/>
    <m/>
    <n v="0"/>
    <n v="40000"/>
    <s v="Pkg_Lot"/>
    <s v="High"/>
    <n v="280000"/>
    <n v="0"/>
    <s v="La Jolla, CA 92037"/>
    <m/>
    <x v="39"/>
    <n v="1.24"/>
    <n v="8.26"/>
    <x v="14"/>
    <n v="300"/>
  </r>
  <r>
    <s v="Lot P302"/>
    <s v="9500 Gilman Dr"/>
    <s v="La Jolla, CA 92093"/>
    <n v="92093"/>
    <s v="S"/>
    <n v="32.881248999999997"/>
    <n v="-117.241846"/>
    <s v="Pkg_Lot"/>
    <n v="0.75"/>
    <m/>
    <s v=""/>
    <n v="0.75"/>
    <m/>
    <n v="0"/>
    <n v="31000"/>
    <s v="Pkg_Lot"/>
    <s v="High"/>
    <n v="217000"/>
    <n v="0"/>
    <s v="San Diego, CA 92161"/>
    <m/>
    <x v="39"/>
    <n v="1.24"/>
    <n v="8.26"/>
    <x v="14"/>
    <n v="500"/>
  </r>
  <r>
    <s v="Lot P208"/>
    <s v="9500 Gilman Dr"/>
    <s v="La Jolla, CA 92093"/>
    <n v="92093"/>
    <s v="S"/>
    <n v="32.880363000000003"/>
    <n v="-117.242891"/>
    <s v="Pkg_Lot"/>
    <n v="0.75"/>
    <m/>
    <s v=""/>
    <n v="0.75"/>
    <m/>
    <n v="0"/>
    <n v="150000"/>
    <s v="Pkg_Lot"/>
    <s v="High"/>
    <n v="1050000"/>
    <n v="0"/>
    <s v="La Jolla, CA 92037"/>
    <m/>
    <x v="39"/>
    <n v="1.24"/>
    <n v="8.26"/>
    <x v="14"/>
    <n v="300"/>
  </r>
  <r>
    <s v="Lot P207"/>
    <s v="9500 Gilman Dr"/>
    <s v="La Jolla, CA 92093"/>
    <n v="92093"/>
    <s v="S"/>
    <n v="32.880305999999997"/>
    <n v="-117.24137"/>
    <s v="Pkg_Lot"/>
    <n v="0.75"/>
    <m/>
    <s v=""/>
    <n v="0.75"/>
    <m/>
    <n v="0"/>
    <n v="123000"/>
    <s v="Pkg_Lot"/>
    <s v="High"/>
    <n v="861000"/>
    <n v="0"/>
    <s v="San Diego, CA"/>
    <m/>
    <x v="39"/>
    <n v="1.24"/>
    <n v="8.26"/>
    <x v="14"/>
    <n v="500"/>
  </r>
  <r>
    <s v="Lot P206"/>
    <s v="9500 Gilman Dr"/>
    <s v="La Jolla, CA 92093"/>
    <n v="92093"/>
    <s v="S"/>
    <n v="32.879182"/>
    <n v="-117.24008499999999"/>
    <s v="Pkg_Lot"/>
    <n v="0.75"/>
    <m/>
    <s v=""/>
    <n v="0.75"/>
    <m/>
    <n v="0"/>
    <n v="41000"/>
    <s v="Pkg_Lot"/>
    <s v="High"/>
    <n v="287000"/>
    <n v="0"/>
    <s v="San Diego, CA 92161"/>
    <m/>
    <x v="39"/>
    <n v="1.24"/>
    <n v="8.26"/>
    <x v="14"/>
    <n v="1000"/>
  </r>
  <r>
    <s v="Structural &amp;amp; Mtls Eng (SME) Bldg"/>
    <s v="9500 Gilman Dr"/>
    <s v="La Jolla, CA 92093"/>
    <n v="92093"/>
    <s v="S"/>
    <n v="32.879862000000003"/>
    <n v="-117.23303"/>
    <s v="Target"/>
    <n v="0.75"/>
    <s v="Red"/>
    <s v=""/>
    <n v="0.75"/>
    <m/>
    <n v="0"/>
    <m/>
    <s v="Existing"/>
    <m/>
    <n v="0"/>
    <n v="0"/>
    <s v="Matthews Ln, La Jolla, CA 92093"/>
    <m/>
    <x v="39"/>
    <n v="1.24"/>
    <n v="8.26"/>
    <x v="14"/>
    <m/>
  </r>
  <r>
    <s v="Lot P510"/>
    <s v="9500 Gilman Dr"/>
    <s v="La Jolla, CA 92093"/>
    <n v="92093"/>
    <s v="S"/>
    <n v="32.881428999999997"/>
    <n v="-117.230059"/>
    <s v="Pkg_Lot"/>
    <n v="0.75"/>
    <m/>
    <s v=""/>
    <n v="0.75"/>
    <m/>
    <n v="0"/>
    <n v="70000"/>
    <s v="Pkg_Lot"/>
    <s v="High"/>
    <n v="490000"/>
    <n v="0"/>
    <s v="La Jolla, CA 92093"/>
    <m/>
    <x v="40"/>
    <n v="1.48"/>
    <n v="9.89"/>
    <x v="12"/>
    <n v="500"/>
  </r>
  <r>
    <s v="Lot P701"/>
    <s v="9500 Gilman Dr"/>
    <s v="La Jolla, CA 92093"/>
    <n v="92093"/>
    <s v="S"/>
    <n v="32.881062"/>
    <n v="-117.227329"/>
    <s v="Pkg_Lot"/>
    <n v="0.75"/>
    <m/>
    <s v=""/>
    <n v="0.75"/>
    <m/>
    <n v="0"/>
    <n v="108000"/>
    <s v="Pkg_Lot"/>
    <s v="High"/>
    <n v="756000"/>
    <n v="0"/>
    <s v="Voigt Dr, La Jolla, CA 92093"/>
    <m/>
    <x v="40"/>
    <n v="1.48"/>
    <n v="9.89"/>
    <x v="12"/>
    <n v="100"/>
  </r>
  <r>
    <s v="Lot P702"/>
    <s v="9500 Gilman Dr"/>
    <s v="La Jolla, CA 92093"/>
    <n v="92093"/>
    <s v="S"/>
    <n v="32.881689999999999"/>
    <n v="-117.223615"/>
    <s v="Pkg_Lot"/>
    <n v="0.75"/>
    <m/>
    <s v=""/>
    <n v="0.75"/>
    <m/>
    <n v="0"/>
    <n v="175000"/>
    <s v="Pkg_Lot"/>
    <s v="High"/>
    <n v="1225000"/>
    <n v="0"/>
    <s v="Voigt Dr, La Jolla, CA 92093"/>
    <m/>
    <x v="40"/>
    <n v="1.48"/>
    <n v="9.89"/>
    <x v="12"/>
    <n v="100"/>
  </r>
  <r>
    <s v="Campus Point Parking Structure"/>
    <s v="9500 Gilman Dr"/>
    <s v="La Jolla, CA 92093"/>
    <n v="92093"/>
    <s v="S"/>
    <n v="32.879638"/>
    <n v="-117.226095"/>
    <s v="Pkg_Garage"/>
    <n v="0.75"/>
    <m/>
    <s v=""/>
    <n v="0.75"/>
    <m/>
    <n v="0"/>
    <n v="56000"/>
    <s v="Pkg_Garage"/>
    <s v="High"/>
    <n v="392000"/>
    <n v="0"/>
    <s v="304 Medical Center Dr, La Jolla, CA 92037"/>
    <m/>
    <x v="40"/>
    <n v="1.48"/>
    <n v="9.89"/>
    <x v="12"/>
    <n v="100"/>
  </r>
  <r>
    <s v="Lot P751"/>
    <s v="9500 Gilman Dr"/>
    <s v="La Jolla, CA 92093"/>
    <n v="92093"/>
    <s v="S"/>
    <n v="32.879207000000001"/>
    <n v="-117.224284"/>
    <s v="Pkg_Lot"/>
    <n v="0.75"/>
    <m/>
    <s v=""/>
    <n v="0.75"/>
    <m/>
    <n v="0"/>
    <n v="91000"/>
    <s v="Pkg_Lot"/>
    <s v="High"/>
    <n v="637000"/>
    <n v="0"/>
    <s v="La Jolla, CA 92037"/>
    <m/>
    <x v="40"/>
    <n v="1.48"/>
    <n v="9.89"/>
    <x v="12"/>
    <n v="1000"/>
  </r>
  <r>
    <s v="Lot P760"/>
    <s v="9500 Gilman Dr"/>
    <s v="La Jolla, CA 92093"/>
    <n v="92093"/>
    <s v="S"/>
    <n v="32.880291999999997"/>
    <n v="-117.222531"/>
    <s v="Pkg_Lot"/>
    <n v="0.75"/>
    <m/>
    <s v=""/>
    <n v="0.75"/>
    <m/>
    <n v="0"/>
    <n v="76000"/>
    <s v="Pkg_Lot"/>
    <s v="High"/>
    <n v="532000"/>
    <n v="0"/>
    <s v="La Jolla, CA 92037"/>
    <m/>
    <x v="40"/>
    <n v="1.48"/>
    <n v="9.89"/>
    <x v="12"/>
    <n v="400"/>
  </r>
  <r>
    <s v="Regents Road West Lot"/>
    <s v="9500 Gilman Dr"/>
    <s v="La Jolla, CA 92093"/>
    <n v="92093"/>
    <s v="S"/>
    <n v="32.879956999999997"/>
    <n v="-117.22063"/>
    <s v="Pkg_Lot"/>
    <n v="0.75"/>
    <m/>
    <s v=""/>
    <n v="0.75"/>
    <m/>
    <n v="0"/>
    <n v="47000"/>
    <s v="Pkg_Lot"/>
    <s v="High"/>
    <n v="329000"/>
    <n v="0"/>
    <s v="La Jolla, CA 92037 (S side only)"/>
    <m/>
    <x v="40"/>
    <n v="1.48"/>
    <n v="9.89"/>
    <x v="12"/>
    <n v="0"/>
  </r>
  <r>
    <s v="Regents Road NE Lot"/>
    <s v="9500 Gilman Dr"/>
    <s v="La Jolla, CA 92093"/>
    <n v="92093"/>
    <s v="S"/>
    <n v="32.880912000000002"/>
    <n v="-117.21947900000001"/>
    <s v="Pkg_Lot"/>
    <n v="0.75"/>
    <m/>
    <s v=""/>
    <n v="0.75"/>
    <m/>
    <n v="0"/>
    <n v="144000"/>
    <s v="Pkg_Lot"/>
    <s v="High"/>
    <n v="1008000"/>
    <n v="0"/>
    <s v="9500 Gilman Dr, La Jolla, CA 92037"/>
    <m/>
    <x v="40"/>
    <n v="1.48"/>
    <n v="9.89"/>
    <x v="12"/>
    <n v="0"/>
  </r>
  <r>
    <s v="Regents Road E Lot"/>
    <s v="9500 Gilman Dr"/>
    <s v="La Jolla, CA 92093"/>
    <n v="92093"/>
    <s v="S"/>
    <n v="32.879477000000001"/>
    <n v="-117.219211"/>
    <s v="Pkg_Lot"/>
    <n v="0.75"/>
    <m/>
    <s v=""/>
    <n v="0.75"/>
    <m/>
    <n v="0"/>
    <n v="190000"/>
    <s v="Pkg_Lot"/>
    <s v="High"/>
    <n v="1330000"/>
    <n v="0"/>
    <s v="9500 Gilman Dr, La Jolla, CA 92037"/>
    <m/>
    <x v="40"/>
    <n v="1.48"/>
    <n v="9.89"/>
    <x v="12"/>
    <n v="0"/>
  </r>
  <r>
    <s v="Lot P761"/>
    <s v="9500 Gilman Dr"/>
    <s v="La Jolla, CA 92093"/>
    <n v="92093"/>
    <s v="S"/>
    <n v="32.878101000000001"/>
    <n v="-117.22079100000001"/>
    <s v="Pkg_Lot"/>
    <n v="0.75"/>
    <m/>
    <s v=""/>
    <n v="0.75"/>
    <m/>
    <n v="0"/>
    <n v="168000"/>
    <s v="Pkg_Lot"/>
    <s v="High"/>
    <n v="1176000"/>
    <n v="0"/>
    <s v="La Jolla, CA 92037"/>
    <m/>
    <x v="40"/>
    <n v="1.48"/>
    <n v="9.89"/>
    <x v="12"/>
    <n v="500"/>
  </r>
  <r>
    <s v="Lot P781"/>
    <s v="9500 Gilman Dr"/>
    <s v="La Jolla, CA 92093"/>
    <n v="92093"/>
    <s v="S"/>
    <n v="32.877761"/>
    <n v="-117.218869"/>
    <s v="Pkg_Lot"/>
    <n v="0.75"/>
    <m/>
    <s v=""/>
    <n v="0.75"/>
    <m/>
    <n v="0"/>
    <n v="97000"/>
    <s v="Pkg_Lot"/>
    <s v="High"/>
    <n v="679000"/>
    <n v="0"/>
    <s v="La Jolla, CA 92037"/>
    <m/>
    <x v="40"/>
    <n v="1.48"/>
    <n v="9.89"/>
    <x v="12"/>
    <n v="0"/>
  </r>
  <r>
    <s v="Lot P782"/>
    <s v="9500 Gilman Dr"/>
    <s v="La Jolla, CA 92093"/>
    <n v="92093"/>
    <s v="S"/>
    <n v="32.875957999999997"/>
    <n v="-117.21887700000001"/>
    <s v="Pkg_Lot"/>
    <n v="0.75"/>
    <m/>
    <s v=""/>
    <n v="0.75"/>
    <m/>
    <n v="0"/>
    <n v="89000"/>
    <s v="Pkg_Lot"/>
    <s v="High"/>
    <n v="623000"/>
    <n v="0"/>
    <s v="La Jolla, CA 92037"/>
    <m/>
    <x v="40"/>
    <n v="1.48"/>
    <n v="9.89"/>
    <x v="12"/>
    <n v="100"/>
  </r>
  <r>
    <s v="Lot P783"/>
    <s v="9500 Gilman Dr"/>
    <s v="La Jolla, CA 92093"/>
    <n v="92093"/>
    <s v="S"/>
    <n v="32.876309999999997"/>
    <n v="-117.222556"/>
    <s v="Pkg_Lot"/>
    <n v="0.75"/>
    <m/>
    <s v=""/>
    <n v="0.75"/>
    <m/>
    <n v="0"/>
    <n v="55000"/>
    <s v="Pkg_Lot"/>
    <s v="High"/>
    <n v="385000"/>
    <n v="0"/>
    <s v="La Jolla, CA 92037"/>
    <m/>
    <x v="40"/>
    <n v="1.48"/>
    <n v="9.89"/>
    <x v="12"/>
    <n v="100"/>
  </r>
  <r>
    <s v="Mesa Nueva Graduate Community "/>
    <s v="9500 Gilman Dr"/>
    <s v="La Jolla, CA 92093"/>
    <n v="92093"/>
    <s v="S"/>
    <n v="32.875202999999999"/>
    <n v="-117.21968200000001"/>
    <s v="Pkg_Lot"/>
    <n v="0.75"/>
    <m/>
    <s v=""/>
    <n v="0.75"/>
    <m/>
    <n v="0"/>
    <n v="85000"/>
    <s v="Pkg_Lot"/>
    <s v="High"/>
    <n v="595000"/>
    <n v="0"/>
    <s v="3869 Miramar St, La Jolla, CA 92092"/>
    <m/>
    <x v="40"/>
    <n v="1.48"/>
    <n v="9.89"/>
    <x v="14"/>
    <n v="50"/>
  </r>
  <r>
    <s v="One Miramar Street Parking Garage"/>
    <s v="9500 Gilman Dr"/>
    <s v="La Jolla, CA 92093"/>
    <n v="92093"/>
    <s v="S"/>
    <n v="32.875402999999999"/>
    <n v="-117.22397100000001"/>
    <s v="Pkg_Garage"/>
    <n v="0.75"/>
    <m/>
    <s v=""/>
    <n v="0.75"/>
    <m/>
    <n v="0"/>
    <n v="53000"/>
    <s v="Pkg_Garage"/>
    <s v="High"/>
    <n v="371000"/>
    <n v="0"/>
    <s v="3700 Miramar St, La Jolla, CA 92037"/>
    <m/>
    <x v="40"/>
    <n v="1.48"/>
    <n v="9.89"/>
    <x v="14"/>
    <n v="50"/>
  </r>
  <r>
    <s v="Lot P103"/>
    <s v="9500 Gilman Dr"/>
    <s v="La Jolla, CA 92093"/>
    <n v="92093"/>
    <s v="S"/>
    <n v="32.873193999999998"/>
    <n v="-117.242127"/>
    <s v="Pkg_Lot"/>
    <n v="0.75"/>
    <m/>
    <s v=""/>
    <n v="0.75"/>
    <m/>
    <n v="0"/>
    <n v="147000"/>
    <s v="Pkg_Lot"/>
    <s v="High"/>
    <n v="1029000"/>
    <n v="0"/>
    <s v="San Diego, CA 92161"/>
    <m/>
    <x v="39"/>
    <n v="1.24"/>
    <n v="8.26"/>
    <x v="14"/>
    <n v="200"/>
  </r>
  <r>
    <s v="Lot P102"/>
    <s v="9500 Gilman Dr"/>
    <s v="La Jolla, CA 92093"/>
    <n v="92093"/>
    <s v="S"/>
    <n v="32.872050999999999"/>
    <n v="-117.242801"/>
    <s v="Pkg_Lot"/>
    <n v="0.75"/>
    <m/>
    <s v=""/>
    <n v="0.75"/>
    <m/>
    <n v="0"/>
    <n v="140000"/>
    <s v="Pkg_Lot"/>
    <s v="High"/>
    <n v="980000"/>
    <n v="0"/>
    <s v="San Diego, CA 92161"/>
    <m/>
    <x v="39"/>
    <n v="1.24"/>
    <n v="8.26"/>
    <x v="14"/>
    <n v="200"/>
  </r>
  <r>
    <s v="The Shops at La Jolla Vlg"/>
    <s v="8801-8879 Villa La Jolla Dr"/>
    <s v="La Jolla, CA 92037"/>
    <n v="92037"/>
    <s v="S"/>
    <n v="32.868679"/>
    <n v="-117.231937"/>
    <s v="Shopping"/>
    <n v="1.5"/>
    <m/>
    <s v="Total"/>
    <n v="1.25"/>
    <m/>
    <n v="6"/>
    <m/>
    <m/>
    <m/>
    <n v="0"/>
    <n v="1778000"/>
    <m/>
    <m/>
    <x v="41"/>
    <n v="1.49"/>
    <n v="9.9499999999999993"/>
    <x v="12"/>
    <m/>
  </r>
  <r>
    <s v="The Rack"/>
    <s v="8801-8879 Villa La Jolla Dr"/>
    <s v="La Jolla, CA 92037"/>
    <n v="92037"/>
    <s v="S"/>
    <n v="32.869335999999997"/>
    <n v="-117.233377"/>
    <s v="Roof_Flat"/>
    <n v="0.75"/>
    <m/>
    <s v=""/>
    <n v="0.75"/>
    <m/>
    <n v="0"/>
    <n v="32000"/>
    <s v="Roof_Flat"/>
    <s v="Medium"/>
    <n v="192000"/>
    <n v="0"/>
    <m/>
    <m/>
    <x v="41"/>
    <n v="1.49"/>
    <n v="9.9499999999999993"/>
    <x v="12"/>
    <n v="50"/>
  </r>
  <r>
    <s v="CVS-Whole Foods"/>
    <s v="8801-8879 Villa La Jolla Dr"/>
    <s v="La Jolla, CA 92037"/>
    <n v="92037"/>
    <s v="S"/>
    <n v="32.869078000000002"/>
    <n v="-117.230676"/>
    <s v="Roof_Flat"/>
    <n v="0.75"/>
    <m/>
    <s v=""/>
    <n v="0.75"/>
    <m/>
    <n v="0"/>
    <n v="59000"/>
    <s v="Roof_Flat"/>
    <s v="Medium"/>
    <n v="354000"/>
    <n v="0"/>
    <m/>
    <m/>
    <x v="41"/>
    <n v="1.49"/>
    <n v="9.9499999999999993"/>
    <x v="12"/>
    <n v="50"/>
  </r>
  <r>
    <s v="E of Rack pkg"/>
    <s v="8801-8879 Villa La Jolla Dr"/>
    <s v="La Jolla, CA 92037"/>
    <n v="92037"/>
    <s v="S"/>
    <n v="32.869342000000003"/>
    <n v="-117.23287500000001"/>
    <s v="Pkg_Lot"/>
    <n v="0.75"/>
    <m/>
    <s v=""/>
    <n v="0.75"/>
    <m/>
    <n v="0"/>
    <n v="13000"/>
    <s v="Pkg_Lot"/>
    <s v="High"/>
    <n v="91000"/>
    <n v="0"/>
    <m/>
    <m/>
    <x v="41"/>
    <n v="1.49"/>
    <n v="9.9499999999999993"/>
    <x v="12"/>
    <n v="50"/>
  </r>
  <r>
    <s v="S of Rack pkg"/>
    <s v="8801-8879 Villa La Jolla Dr"/>
    <s v="La Jolla, CA 92037"/>
    <n v="92037"/>
    <s v="S"/>
    <n v="32.868603"/>
    <n v="-117.232597"/>
    <s v="Pkg_Lot"/>
    <n v="0.75"/>
    <m/>
    <s v=""/>
    <n v="0.75"/>
    <m/>
    <n v="0"/>
    <n v="83000"/>
    <s v="Pkg_Lot"/>
    <s v="High"/>
    <n v="581000"/>
    <n v="0"/>
    <m/>
    <m/>
    <x v="41"/>
    <n v="1.49"/>
    <n v="9.9499999999999993"/>
    <x v="12"/>
    <n v="50"/>
  </r>
  <r>
    <s v="W of CVS-WF"/>
    <s v="8801-8879 Villa La Jolla Dr"/>
    <s v="La Jolla, CA 92037"/>
    <n v="92037"/>
    <s v="S"/>
    <n v="32.868884999999999"/>
    <n v="-117.23145"/>
    <s v="Pkg_Lot"/>
    <n v="0.75"/>
    <m/>
    <s v=""/>
    <n v="0.75"/>
    <m/>
    <n v="0"/>
    <n v="80000"/>
    <s v="Pkg_Lot"/>
    <s v="High"/>
    <n v="560000"/>
    <n v="0"/>
    <m/>
    <m/>
    <x v="41"/>
    <n v="1.49"/>
    <n v="9.9499999999999993"/>
    <x v="12"/>
    <n v="200"/>
  </r>
  <r>
    <s v="La Jolla Vlg Square"/>
    <s v="8707-8657 Villa La Jolla Dr"/>
    <s v="La Jolla, CA 92037"/>
    <n v="92037"/>
    <s v="S"/>
    <n v="32.866261999999999"/>
    <n v="-117.23194700000001"/>
    <s v="Shopping"/>
    <n v="1.5"/>
    <m/>
    <s v="Total"/>
    <n v="1.25"/>
    <m/>
    <n v="6"/>
    <m/>
    <m/>
    <m/>
    <n v="0"/>
    <n v="4448000"/>
    <m/>
    <m/>
    <x v="42"/>
    <n v="1.5"/>
    <n v="10"/>
    <x v="12"/>
    <m/>
  </r>
  <r>
    <s v="Ralph's-DSW"/>
    <s v="8707-8657 Villa La Jolla Dr"/>
    <s v="La Jolla, CA 92037"/>
    <n v="92037"/>
    <s v="S"/>
    <n v="32.865616000000003"/>
    <n v="-117.23195"/>
    <s v="Roof_Flat"/>
    <n v="0.75"/>
    <m/>
    <s v=""/>
    <n v="0.75"/>
    <m/>
    <n v="0"/>
    <n v="200000"/>
    <s v="Roof_Flat"/>
    <s v="Medium"/>
    <n v="1200000"/>
    <n v="0"/>
    <m/>
    <m/>
    <x v="42"/>
    <n v="1.5"/>
    <n v="10"/>
    <x v="12"/>
    <n v="0"/>
  </r>
  <r>
    <s v="La Jolla Vlg Sq Pkg N"/>
    <s v="8707-8657 Villa La Jolla Dr"/>
    <s v="La Jolla, CA 92037"/>
    <n v="92037"/>
    <s v="S"/>
    <n v="32.867103"/>
    <n v="-117.232201"/>
    <s v="Pkg_Lot"/>
    <n v="0.75"/>
    <m/>
    <s v=""/>
    <n v="0.75"/>
    <m/>
    <n v="0"/>
    <n v="105000"/>
    <s v="Pkg_Lot"/>
    <s v="High"/>
    <n v="735000"/>
    <n v="0"/>
    <m/>
    <m/>
    <x v="42"/>
    <n v="1.5"/>
    <n v="10"/>
    <x v="12"/>
    <n v="50"/>
  </r>
  <r>
    <s v="La Jolla Vlg Sq Pkg W"/>
    <s v="8707-8657 Villa La Jolla Dr"/>
    <s v="La Jolla, CA 92037"/>
    <n v="92037"/>
    <s v="S"/>
    <n v="32.866090999999997"/>
    <n v="-117.232754"/>
    <s v="Pkg_Lot"/>
    <n v="0.75"/>
    <m/>
    <s v=""/>
    <n v="0.75"/>
    <m/>
    <n v="0"/>
    <n v="62000"/>
    <s v="Pkg_Lot"/>
    <s v="High"/>
    <n v="434000"/>
    <n v="0"/>
    <m/>
    <m/>
    <x v="42"/>
    <n v="1.5"/>
    <n v="10"/>
    <x v="12"/>
    <n v="50"/>
  </r>
  <r>
    <s v="La Jolla Vlg Sq Pkg E"/>
    <s v="8707-8657 Villa La Jolla Dr"/>
    <s v="La Jolla, CA 92037"/>
    <n v="92037"/>
    <s v="S"/>
    <n v="32.866239999999998"/>
    <n v="-117.23086600000001"/>
    <s v="Pkg_Lot"/>
    <n v="0.75"/>
    <m/>
    <s v=""/>
    <n v="0.75"/>
    <m/>
    <n v="0"/>
    <n v="220000"/>
    <s v="Pkg_Lot"/>
    <s v="High"/>
    <n v="1540000"/>
    <n v="0"/>
    <m/>
    <m/>
    <x v="42"/>
    <n v="1.5"/>
    <n v="10"/>
    <x v="12"/>
    <n v="50"/>
  </r>
  <r>
    <s v="La Jolla Vlg Sq Pkg S"/>
    <s v="8707-8657 Villa La Jolla Dr"/>
    <s v="La Jolla, CA 92037"/>
    <n v="92037"/>
    <s v="S"/>
    <n v="32.864111000000001"/>
    <n v="-117.2319"/>
    <s v="Pkg_Lot"/>
    <n v="0.75"/>
    <m/>
    <s v=""/>
    <n v="0.75"/>
    <m/>
    <n v="0"/>
    <n v="77000"/>
    <s v="Pkg_Lot"/>
    <s v="High"/>
    <n v="539000"/>
    <n v="0"/>
    <m/>
    <m/>
    <x v="42"/>
    <n v="1.5"/>
    <n v="10"/>
    <x v="12"/>
    <n v="50"/>
  </r>
  <r>
    <s v="VA San Diego Healthcare System"/>
    <s v="3350 La Jolla Village Dr"/>
    <s v="San Diego, CA 92161"/>
    <n v="92161"/>
    <s v="S"/>
    <n v="32.874696"/>
    <n v="-117.232326"/>
    <s v="Hospital"/>
    <n v="1.5"/>
    <m/>
    <s v="Total"/>
    <n v="1.25"/>
    <m/>
    <n v="7"/>
    <m/>
    <m/>
    <m/>
    <n v="0"/>
    <n v="2443000"/>
    <m/>
    <m/>
    <x v="41"/>
    <n v="1.49"/>
    <n v="9.9499999999999993"/>
    <x v="12"/>
    <m/>
  </r>
  <r>
    <s v="VASD Pkg Garage"/>
    <s v="3350 La Jolla Village Dr"/>
    <s v="San Diego, CA 92161"/>
    <n v="92161"/>
    <s v="S"/>
    <n v="32.873936"/>
    <n v="-117.232434"/>
    <s v="Pkg_Garage"/>
    <n v="0.75"/>
    <m/>
    <s v=""/>
    <n v="0.75"/>
    <m/>
    <n v="0"/>
    <n v="35000"/>
    <s v="Pkg_Garage"/>
    <s v="High"/>
    <n v="245000"/>
    <n v="0"/>
    <m/>
    <m/>
    <x v="41"/>
    <n v="1.49"/>
    <n v="9.9499999999999993"/>
    <x v="12"/>
    <n v="750"/>
  </r>
  <r>
    <s v="VASD Pkg Lot 1"/>
    <s v="3350 La Jolla Village Dr"/>
    <s v="San Diego, CA 92161"/>
    <n v="92161"/>
    <s v="S"/>
    <n v="32.873758000000002"/>
    <n v="-117.23323000000001"/>
    <s v="Pkg_Lot"/>
    <n v="0.75"/>
    <m/>
    <s v=""/>
    <n v="0.75"/>
    <m/>
    <n v="0"/>
    <n v="72000"/>
    <s v="Pkg_Lot"/>
    <s v="High"/>
    <n v="504000"/>
    <n v="0"/>
    <m/>
    <m/>
    <x v="41"/>
    <n v="1.49"/>
    <n v="9.9499999999999993"/>
    <x v="12"/>
    <n v="700"/>
  </r>
  <r>
    <s v="VASD Pkg Lot 2"/>
    <s v="3350 La Jolla Village Dr"/>
    <s v="San Diego, CA 92161"/>
    <n v="92161"/>
    <s v="S"/>
    <n v="32.872867999999997"/>
    <n v="-117.233079"/>
    <s v="Pkg_Lot"/>
    <n v="0.75"/>
    <m/>
    <s v=""/>
    <n v="0.75"/>
    <m/>
    <n v="0"/>
    <n v="98000"/>
    <s v="Pkg_Lot"/>
    <s v="High"/>
    <n v="686000"/>
    <n v="0"/>
    <m/>
    <m/>
    <x v="41"/>
    <n v="1.49"/>
    <n v="9.9499999999999993"/>
    <x v="12"/>
    <n v="300"/>
  </r>
  <r>
    <s v="VASD Pkg Lot 3"/>
    <s v="3350 La Jolla Village Dr"/>
    <s v="San Diego, CA 92161"/>
    <n v="92161"/>
    <s v="S"/>
    <n v="32.873896999999999"/>
    <n v="-117.2317"/>
    <s v="Pkg_Lot"/>
    <n v="0.75"/>
    <m/>
    <s v=""/>
    <n v="0.75"/>
    <m/>
    <n v="0"/>
    <n v="63000"/>
    <s v="Pkg_Lot"/>
    <s v="High"/>
    <n v="441000"/>
    <n v="0"/>
    <m/>
    <m/>
    <x v="41"/>
    <n v="1.49"/>
    <n v="9.9499999999999993"/>
    <x v="12"/>
    <n v="250"/>
  </r>
  <r>
    <s v="VASD Pkg Lot 4"/>
    <s v="3350 La Jolla Village Dr"/>
    <s v="San Diego, CA 92161"/>
    <n v="92161"/>
    <s v="S"/>
    <n v="32.873821"/>
    <n v="-117.230864"/>
    <s v="Pkg_Lot"/>
    <n v="0.75"/>
    <m/>
    <s v=""/>
    <n v="0.75"/>
    <m/>
    <n v="0"/>
    <n v="52000"/>
    <s v="Pkg_Lot"/>
    <s v="High"/>
    <n v="364000"/>
    <n v="0"/>
    <m/>
    <m/>
    <x v="41"/>
    <n v="1.49"/>
    <n v="9.9499999999999993"/>
    <x v="12"/>
    <n v="50"/>
  </r>
  <r>
    <s v="VASD Pkg Lot 5"/>
    <s v="3350 La Jolla Village Dr"/>
    <s v="San Diego, CA 92161"/>
    <n v="92161"/>
    <s v="S"/>
    <n v="32.874791999999999"/>
    <n v="-117.230799"/>
    <s v="Pkg_Lot"/>
    <n v="0.75"/>
    <m/>
    <s v=""/>
    <n v="0.75"/>
    <m/>
    <n v="0"/>
    <n v="29000"/>
    <s v="Pkg_Lot"/>
    <s v="High"/>
    <n v="203000"/>
    <n v="0"/>
    <m/>
    <m/>
    <x v="41"/>
    <n v="1.49"/>
    <n v="9.9499999999999993"/>
    <x v="12"/>
    <n v="50"/>
  </r>
  <r>
    <s v="La Jolla Shores Beach Parking"/>
    <s v="8300-8370 Camino Del Oro"/>
    <s v="La Jolla, CA 92037"/>
    <n v="92037"/>
    <s v="S"/>
    <n v="32.857627999999998"/>
    <n v="-117.2564"/>
    <s v="Pkg_Lot"/>
    <n v="1"/>
    <m/>
    <s v=""/>
    <n v="1"/>
    <m/>
    <n v="1"/>
    <n v="109000"/>
    <s v="Pkg_Lot"/>
    <s v="High"/>
    <n v="763000"/>
    <n v="763000"/>
    <m/>
    <m/>
    <x v="43"/>
    <n v="1.4"/>
    <n v="9.31"/>
    <x v="14"/>
    <n v="0"/>
  </r>
  <r>
    <s v="Dana Landing Market Pkg"/>
    <s v="2580 Ingraham St"/>
    <s v="San Diego, CA 92109"/>
    <n v="92109"/>
    <s v="S"/>
    <n v="32.765582999999999"/>
    <n v="-117.234317"/>
    <s v="Pkg_Lot"/>
    <n v="1"/>
    <m/>
    <s v=""/>
    <n v="1"/>
    <m/>
    <n v="1"/>
    <n v="177000"/>
    <s v="Pkg_Lot"/>
    <s v="High"/>
    <n v="1239000"/>
    <n v="1239000"/>
    <m/>
    <m/>
    <x v="44"/>
    <n v="1.45"/>
    <n v="9.6999999999999993"/>
    <x v="15"/>
    <n v="0"/>
  </r>
  <r>
    <s v="Seaforth Marina Pkg"/>
    <s v="1677 Quivira Rd"/>
    <s v="San Diego, CA 92109"/>
    <n v="92109"/>
    <s v="S"/>
    <n v="32.763609000000002"/>
    <n v="-117.23569500000001"/>
    <s v="Pkg_Lot"/>
    <n v="1"/>
    <m/>
    <s v=""/>
    <n v="1"/>
    <m/>
    <n v="1"/>
    <n v="175000"/>
    <s v="Pkg_Lot"/>
    <s v="High"/>
    <n v="1225000"/>
    <n v="1225000"/>
    <m/>
    <m/>
    <x v="45"/>
    <n v="1.5"/>
    <n v="10"/>
    <x v="16"/>
    <n v="0"/>
  </r>
  <r>
    <s v="Marina Vlg Conf Ctr Pkg"/>
    <s v="1936 Quivira Way"/>
    <s v="San Diego, CA 92109"/>
    <n v="92109"/>
    <s v="S"/>
    <n v="32.761400000000002"/>
    <n v="-117.233054"/>
    <s v="Pkg_Lot"/>
    <n v="1"/>
    <m/>
    <s v=""/>
    <n v="1"/>
    <m/>
    <n v="1"/>
    <n v="155000"/>
    <s v="Pkg_Lot"/>
    <s v="High"/>
    <n v="1085000"/>
    <n v="1085000"/>
    <m/>
    <m/>
    <x v="45"/>
    <n v="1.5"/>
    <n v="10"/>
    <x v="16"/>
    <n v="50"/>
  </r>
  <r>
    <s v="Westfield UTC Shopping Ctr"/>
    <s v="4333 La Jolla Village Dr"/>
    <s v="San Diego, CA 92122"/>
    <n v="92122"/>
    <s v="S"/>
    <n v="32.870303"/>
    <n v="-117.211125"/>
    <s v="Shopping"/>
    <n v="1.5"/>
    <m/>
    <s v="Total"/>
    <n v="1.25"/>
    <m/>
    <n v="10"/>
    <m/>
    <m/>
    <m/>
    <n v="0"/>
    <n v="4893000"/>
    <m/>
    <m/>
    <x v="38"/>
    <m/>
    <m/>
    <x v="12"/>
    <m/>
  </r>
  <r>
    <s v="Macys"/>
    <s v="4333 La Jolla Village Dr"/>
    <s v="San Diego, CA 92122"/>
    <n v="92122"/>
    <s v="S"/>
    <n v="32.868842999999998"/>
    <n v="-117.21224100000001"/>
    <s v="Roof_Flat"/>
    <n v="0.75"/>
    <m/>
    <s v=""/>
    <n v="0.75"/>
    <m/>
    <n v="0"/>
    <n v="19000"/>
    <s v="Roof_Flat"/>
    <s v="High"/>
    <n v="133000"/>
    <n v="0"/>
    <m/>
    <m/>
    <x v="46"/>
    <n v="1.34"/>
    <n v="8.9499999999999993"/>
    <x v="12"/>
    <n v="0"/>
  </r>
  <r>
    <s v="Forever 21"/>
    <s v="4333 La Jolla Village Dr"/>
    <s v="San Diego, CA 92122"/>
    <n v="92122"/>
    <s v="S"/>
    <n v="32.870901000000003"/>
    <n v="-117.211603"/>
    <s v="Roof_Flat"/>
    <n v="0.75"/>
    <m/>
    <s v=""/>
    <n v="0.75"/>
    <m/>
    <n v="0"/>
    <n v="9000"/>
    <s v="Roof_Flat"/>
    <s v="High"/>
    <n v="63000"/>
    <n v="0"/>
    <m/>
    <m/>
    <x v="47"/>
    <n v="1.49"/>
    <n v="9.9"/>
    <x v="12"/>
    <n v="0"/>
  </r>
  <r>
    <s v="Pottery Barn"/>
    <s v="4333 La Jolla Village Dr"/>
    <s v="San Diego, CA 92122"/>
    <n v="92122"/>
    <s v="S"/>
    <n v="32.872281999999998"/>
    <n v="-117.208842"/>
    <s v="Roof_Flat"/>
    <n v="0.75"/>
    <m/>
    <s v=""/>
    <n v="0.75"/>
    <m/>
    <n v="0"/>
    <n v="62000"/>
    <s v="Roof_Flat"/>
    <s v="High"/>
    <n v="434000"/>
    <n v="0"/>
    <m/>
    <m/>
    <x v="47"/>
    <n v="1.49"/>
    <n v="9.9"/>
    <x v="12"/>
    <n v="0"/>
  </r>
  <r>
    <s v="W_UTC Pkg 1"/>
    <s v="4333 La Jolla Village Dr"/>
    <s v="San Diego, CA 92122"/>
    <n v="92122"/>
    <s v="S"/>
    <n v="32.873159000000001"/>
    <n v="-117.208688"/>
    <s v="Pkg_Lot"/>
    <n v="0.75"/>
    <m/>
    <s v=""/>
    <n v="0.75"/>
    <m/>
    <n v="0"/>
    <n v="150000"/>
    <s v="Pkg_Lot"/>
    <s v="High"/>
    <n v="1050000"/>
    <n v="0"/>
    <m/>
    <m/>
    <x v="47"/>
    <n v="1.49"/>
    <n v="9.9"/>
    <x v="12"/>
    <n v="0"/>
  </r>
  <r>
    <s v="W_UTC Pkg 2"/>
    <s v="4333 La Jolla Village Dr"/>
    <s v="San Diego, CA 92122"/>
    <n v="92122"/>
    <s v="S"/>
    <n v="32.872087999999998"/>
    <n v="-117.20782800000001"/>
    <s v="Pkg_Lot"/>
    <n v="0.75"/>
    <m/>
    <s v=""/>
    <n v="0.75"/>
    <m/>
    <n v="0"/>
    <n v="105000"/>
    <s v="Pkg_Lot"/>
    <s v="High"/>
    <n v="735000"/>
    <n v="0"/>
    <m/>
    <m/>
    <x v="47"/>
    <n v="1.49"/>
    <n v="9.9"/>
    <x v="12"/>
    <n v="0"/>
  </r>
  <r>
    <s v="W_UTC Pkg 3"/>
    <s v="4333 La Jolla Village Dr"/>
    <s v="San Diego, CA 92122"/>
    <n v="92122"/>
    <s v="S"/>
    <n v="32.870848000000002"/>
    <n v="-117.20859"/>
    <s v="Pkg_Garage"/>
    <n v="0.75"/>
    <m/>
    <s v=""/>
    <n v="0.75"/>
    <m/>
    <n v="0"/>
    <n v="92000"/>
    <s v="Pkg_Garage"/>
    <s v="High"/>
    <n v="644000"/>
    <n v="0"/>
    <m/>
    <m/>
    <x v="47"/>
    <n v="1.49"/>
    <n v="9.9"/>
    <x v="12"/>
    <n v="0"/>
  </r>
  <r>
    <s v="W_UTC Pkg 4"/>
    <s v="4333 La Jolla Village Dr"/>
    <s v="San Diego, CA 92122"/>
    <n v="92122"/>
    <s v="S"/>
    <n v="32.872306000000002"/>
    <n v="-117.21045700000001"/>
    <s v="Pkg_Garage"/>
    <n v="0.75"/>
    <m/>
    <s v=""/>
    <n v="0.75"/>
    <m/>
    <n v="0"/>
    <n v="77000"/>
    <s v="Pkg_Garage"/>
    <s v="High"/>
    <n v="539000"/>
    <n v="0"/>
    <m/>
    <m/>
    <x v="47"/>
    <n v="1.49"/>
    <n v="9.9"/>
    <x v="12"/>
    <n v="0"/>
  </r>
  <r>
    <s v="W_UTC Pkg 5"/>
    <s v="4333 La Jolla Village Dr"/>
    <s v="San Diego, CA 92122"/>
    <n v="92122"/>
    <s v="S"/>
    <n v="32.868614999999998"/>
    <n v="-117.211733"/>
    <s v="Pkg_Lot"/>
    <n v="0.75"/>
    <m/>
    <s v=""/>
    <n v="0.75"/>
    <m/>
    <n v="0"/>
    <n v="35000"/>
    <s v="Pkg_Lot"/>
    <s v="High"/>
    <n v="245000"/>
    <n v="0"/>
    <m/>
    <m/>
    <x v="46"/>
    <n v="1.34"/>
    <n v="8.9499999999999993"/>
    <x v="12"/>
    <n v="0"/>
  </r>
  <r>
    <s v="W_UTC Pkg 6"/>
    <s v="4333 La Jolla Village Dr"/>
    <s v="San Diego, CA 92122"/>
    <n v="92122"/>
    <s v="S"/>
    <n v="32.868020999999999"/>
    <n v="-117.212604"/>
    <s v="Pkg_Lot"/>
    <n v="0.75"/>
    <m/>
    <s v=""/>
    <n v="0.75"/>
    <m/>
    <n v="0"/>
    <n v="150000"/>
    <s v="Pkg_Lot"/>
    <s v="High"/>
    <n v="1050000"/>
    <n v="0"/>
    <m/>
    <m/>
    <x v="46"/>
    <n v="1.34"/>
    <n v="8.9499999999999993"/>
    <x v="12"/>
    <n v="0"/>
  </r>
  <r>
    <s v="Illumina"/>
    <s v="5200 Illumina Way"/>
    <s v="San Diego, CA 92122"/>
    <n v="92122"/>
    <s v="S"/>
    <n v="32.870899999999999"/>
    <n v="-117.198262"/>
    <s v="Biz"/>
    <n v="1.5"/>
    <m/>
    <s v="Total"/>
    <n v="1.25"/>
    <m/>
    <n v="5"/>
    <m/>
    <m/>
    <m/>
    <n v="0"/>
    <n v="896000"/>
    <m/>
    <m/>
    <x v="46"/>
    <n v="1.34"/>
    <n v="8.9499999999999993"/>
    <x v="12"/>
    <m/>
  </r>
  <r>
    <s v="Illumina bldg 1"/>
    <s v="5200 Illumina Way"/>
    <s v="San Diego, CA 92122"/>
    <n v="92122"/>
    <s v="S"/>
    <n v="32.870930000000001"/>
    <n v="-117.19914"/>
    <s v="Roof_Flat"/>
    <n v="0.75"/>
    <m/>
    <s v=""/>
    <n v="0.75"/>
    <m/>
    <n v="0"/>
    <n v="11000"/>
    <s v="Roof_Flat"/>
    <s v="High"/>
    <n v="77000"/>
    <n v="0"/>
    <m/>
    <m/>
    <x v="46"/>
    <n v="1.34"/>
    <n v="8.9499999999999993"/>
    <x v="12"/>
    <n v="0"/>
  </r>
  <r>
    <s v="Illumina Pkg 1"/>
    <s v="5200 Illumina Way"/>
    <s v="San Diego, CA 92122"/>
    <n v="92122"/>
    <s v="S"/>
    <n v="32.872306000000002"/>
    <n v="-117.200103"/>
    <s v="Pkg_Lot"/>
    <n v="0.75"/>
    <m/>
    <s v=""/>
    <n v="0.75"/>
    <m/>
    <n v="0"/>
    <n v="22000"/>
    <s v="Pkg_Lot"/>
    <s v="High"/>
    <n v="154000"/>
    <n v="0"/>
    <m/>
    <m/>
    <x v="46"/>
    <n v="1.34"/>
    <n v="8.9499999999999993"/>
    <x v="12"/>
    <n v="0"/>
  </r>
  <r>
    <s v="Illumina Pkg 2"/>
    <s v="5200 Illumina Way"/>
    <s v="San Diego, CA 92122"/>
    <n v="92122"/>
    <s v="S"/>
    <n v="32.871948000000003"/>
    <n v="-117.198911"/>
    <s v="Pkg_Lot"/>
    <n v="0.75"/>
    <m/>
    <s v=""/>
    <n v="0.75"/>
    <m/>
    <n v="0"/>
    <n v="70000"/>
    <s v="Pkg_Lot"/>
    <s v="High"/>
    <n v="490000"/>
    <n v="0"/>
    <m/>
    <m/>
    <x v="46"/>
    <n v="1.34"/>
    <n v="8.9499999999999993"/>
    <x v="12"/>
    <n v="0"/>
  </r>
  <r>
    <s v="Illumina Pkg 3"/>
    <s v="5200 Illumina Way"/>
    <s v="San Diego, CA 92122"/>
    <n v="92122"/>
    <s v="S"/>
    <n v="32.870390999999998"/>
    <n v="-117.196901"/>
    <s v="Pkg_Garage"/>
    <n v="0.75"/>
    <m/>
    <s v=""/>
    <n v="0.75"/>
    <m/>
    <n v="0"/>
    <n v="25000"/>
    <s v="Pkg_Garage"/>
    <s v="High"/>
    <n v="175000"/>
    <n v="0"/>
    <m/>
    <m/>
    <x v="46"/>
    <n v="1.34"/>
    <n v="8.9499999999999993"/>
    <x v="12"/>
    <n v="200"/>
  </r>
  <r>
    <s v="Unknown Biz Ctr"/>
    <s v="5657 Copley Dr"/>
    <s v="San Diego, CA 92111"/>
    <n v="92111"/>
    <s v="S"/>
    <n v="32.840926000000003"/>
    <n v="-117.165976"/>
    <s v="Biz"/>
    <n v="1.5"/>
    <m/>
    <s v="Total"/>
    <n v="1.25"/>
    <m/>
    <n v="4"/>
    <m/>
    <m/>
    <m/>
    <n v="0"/>
    <n v="2134000"/>
    <m/>
    <m/>
    <x v="48"/>
    <n v="1.73"/>
    <n v="11.5"/>
    <x v="17"/>
    <m/>
  </r>
  <r>
    <s v="ATM Merchant Sys"/>
    <s v="5657 Copley Dr"/>
    <s v="San Diego, CA 92111"/>
    <n v="92111"/>
    <s v="S"/>
    <n v="32.842402"/>
    <n v="-117.167001"/>
    <s v="Roof_Flat"/>
    <n v="0.75"/>
    <m/>
    <s v=""/>
    <n v="0.75"/>
    <m/>
    <n v="0"/>
    <n v="113000"/>
    <s v="Roof_Flat"/>
    <s v="Medium"/>
    <n v="678000"/>
    <n v="0"/>
    <m/>
    <m/>
    <x v="48"/>
    <n v="1.73"/>
    <n v="11.5"/>
    <x v="17"/>
    <n v="0"/>
  </r>
  <r>
    <s v="ATM Pkg"/>
    <s v="5657 Copley Dr"/>
    <s v="San Diego, CA 92111"/>
    <n v="92111"/>
    <s v="S"/>
    <n v="32.841422000000001"/>
    <n v="-117.166308"/>
    <s v="Pkg_Lot"/>
    <n v="0.75"/>
    <m/>
    <s v=""/>
    <n v="0.75"/>
    <m/>
    <n v="0"/>
    <n v="160000"/>
    <s v="Pkg_Lot"/>
    <s v="High"/>
    <n v="1120000"/>
    <n v="0"/>
    <m/>
    <m/>
    <x v="48"/>
    <n v="1.73"/>
    <n v="11.5"/>
    <x v="17"/>
    <n v="200"/>
  </r>
  <r>
    <s v="Road Runner Sports"/>
    <s v="5657 Copley Dr"/>
    <s v="San Diego, CA 92111"/>
    <n v="92111"/>
    <s v="S"/>
    <n v="32.840560000000004"/>
    <n v="-117.16454299999999"/>
    <s v="Roof_Flat"/>
    <n v="0.75"/>
    <m/>
    <s v=""/>
    <n v="0.75"/>
    <m/>
    <n v="0"/>
    <n v="56000"/>
    <s v="Roof_Flat"/>
    <s v="Medium"/>
    <n v="336000"/>
    <n v="0"/>
    <m/>
    <m/>
    <x v="48"/>
    <n v="1.73"/>
    <n v="11.5"/>
    <x v="17"/>
    <n v="0"/>
  </r>
  <r>
    <s v="Morena Plaza"/>
    <s v="4605 Morena Blvd"/>
    <s v="San Diego, CA 92117"/>
    <n v="92117"/>
    <s v="S"/>
    <n v="32.822651"/>
    <n v="-117.22615"/>
    <s v="Shopping"/>
    <n v="1.5"/>
    <m/>
    <s v="Total"/>
    <n v="1.25"/>
    <m/>
    <n v="5"/>
    <m/>
    <m/>
    <m/>
    <n v="0"/>
    <n v="2649500"/>
    <m/>
    <m/>
    <x v="19"/>
    <m/>
    <m/>
    <x v="7"/>
    <m/>
  </r>
  <r>
    <s v="Costco Bldg N Corner"/>
    <s v="4605 Morena Blvd"/>
    <s v="San Diego, CA 92117"/>
    <n v="92117"/>
    <s v="S"/>
    <n v="32.823188999999999"/>
    <n v="-117.22600199999999"/>
    <s v="Roof_Angled"/>
    <n v="0.75"/>
    <m/>
    <s v=""/>
    <n v="0.75"/>
    <m/>
    <n v="0"/>
    <n v="24000"/>
    <s v="Roof_Angled"/>
    <s v="High"/>
    <n v="168000"/>
    <n v="0"/>
    <s v="N Corner, W facing"/>
    <m/>
    <x v="49"/>
    <n v="1.44"/>
    <n v="9.6300000000000008"/>
    <x v="14"/>
    <n v="100"/>
  </r>
  <r>
    <s v="Costco Bldg S Corner"/>
    <s v="4605 Morena Blvd"/>
    <s v="San Diego, CA 92117"/>
    <n v="92117"/>
    <s v="S"/>
    <n v="32.821928"/>
    <n v="-117.225472"/>
    <s v="Roof_Angled"/>
    <n v="0.75"/>
    <m/>
    <s v=""/>
    <n v="0.75"/>
    <m/>
    <n v="0"/>
    <n v="57500"/>
    <s v="Roof_Angled"/>
    <s v="High"/>
    <n v="402500"/>
    <n v="0"/>
    <s v="S Corner, W facing"/>
    <m/>
    <x v="49"/>
    <n v="1.44"/>
    <n v="9.6300000000000008"/>
    <x v="14"/>
    <n v="50"/>
  </r>
  <r>
    <s v="Costco Pkg N"/>
    <s v="4605 Morena Blvd"/>
    <s v="San Diego, CA 92117"/>
    <n v="92117"/>
    <s v="S"/>
    <n v="32.823825999999997"/>
    <n v="-117.226293"/>
    <s v="Pkg_Lot"/>
    <n v="0.75"/>
    <m/>
    <s v=""/>
    <n v="0.75"/>
    <m/>
    <n v="0"/>
    <n v="102000"/>
    <s v="Pkg_Lot"/>
    <s v="High"/>
    <n v="714000"/>
    <n v="0"/>
    <m/>
    <m/>
    <x v="49"/>
    <n v="1.44"/>
    <n v="9.6300000000000008"/>
    <x v="14"/>
    <n v="0"/>
  </r>
  <r>
    <s v="Costco Pkg S"/>
    <s v="4605 Morena Blvd"/>
    <s v="San Diego, CA 92117"/>
    <n v="92117"/>
    <s v="S"/>
    <n v="32.820802999999998"/>
    <n v="-117.224294"/>
    <s v="Pkg_Lot"/>
    <n v="0.75"/>
    <m/>
    <s v=""/>
    <n v="0.75"/>
    <m/>
    <n v="0"/>
    <n v="195000"/>
    <s v="Pkg_Lot"/>
    <s v="High"/>
    <n v="1365000"/>
    <n v="0"/>
    <m/>
    <m/>
    <x v="49"/>
    <n v="1.44"/>
    <n v="9.6300000000000008"/>
    <x v="14"/>
    <n v="0"/>
  </r>
  <r>
    <s v="Diane Vlg Shopping Ctr"/>
    <s v="4740 Clairemont Mesa Blvd"/>
    <s v="San Diego, CA 92117"/>
    <n v="92117"/>
    <s v="S"/>
    <n v="32.835244000000003"/>
    <n v="-117.188666"/>
    <s v="Shopping"/>
    <n v="1.5"/>
    <m/>
    <s v="Total"/>
    <n v="1.25"/>
    <m/>
    <n v="4"/>
    <m/>
    <m/>
    <m/>
    <n v="0"/>
    <n v="886900"/>
    <s v="Ignores existing PV trees"/>
    <m/>
    <x v="50"/>
    <n v="1.32"/>
    <n v="8.77"/>
    <x v="18"/>
    <n v="0"/>
  </r>
  <r>
    <s v="SDG&amp;amp;E Energy Innovation Ctr"/>
    <s v="4740 Clairemont Mesa Blvd"/>
    <s v="San Diego, CA 92117"/>
    <n v="92117"/>
    <s v="S"/>
    <n v="32.835504"/>
    <n v="-117.18836"/>
    <s v="Target"/>
    <n v="0.75"/>
    <s v="Red"/>
    <s v=""/>
    <n v="0.75"/>
    <m/>
    <n v="0"/>
    <m/>
    <s v="Existing"/>
    <m/>
    <n v="0"/>
    <n v="0"/>
    <m/>
    <m/>
    <x v="50"/>
    <n v="1.32"/>
    <n v="8.77"/>
    <x v="18"/>
    <n v="0"/>
  </r>
  <r>
    <s v="Diane Vlg Shop Pkg"/>
    <s v="4740 Clairemont Mesa Blvd"/>
    <s v="San Diego, CA 92117"/>
    <n v="92117"/>
    <s v="S"/>
    <n v="32.834986000000001"/>
    <n v="-117.18825"/>
    <s v="Pkg_Lot"/>
    <n v="0.75"/>
    <m/>
    <s v=""/>
    <n v="0.75"/>
    <m/>
    <n v="0"/>
    <n v="123000"/>
    <s v="Pkg_Lot"/>
    <s v="High"/>
    <n v="861000"/>
    <n v="0"/>
    <s v="Ignores existing PV trees"/>
    <m/>
    <x v="50"/>
    <n v="1.32"/>
    <n v="8.77"/>
    <x v="18"/>
    <n v="0"/>
  </r>
  <r>
    <s v="John's Shoe Repair"/>
    <s v="4740 Clairemont Mesa Blvd"/>
    <s v="San Diego, CA 92117"/>
    <n v="92117"/>
    <s v="S"/>
    <n v="32.835698999999998"/>
    <n v="-117.187887"/>
    <s v="Roof_Flat"/>
    <n v="0.75"/>
    <m/>
    <s v=""/>
    <n v="0.75"/>
    <m/>
    <n v="0"/>
    <n v="3700"/>
    <s v="Roof_Flat"/>
    <s v="High"/>
    <n v="25900"/>
    <n v="0"/>
    <m/>
    <m/>
    <x v="50"/>
    <n v="1.32"/>
    <n v="8.77"/>
    <x v="18"/>
    <n v="0"/>
  </r>
  <r>
    <s v="Genesee Plaza Shopping Ctr"/>
    <s v="5680 Balboa Ave"/>
    <s v="San Diego, CA 92111"/>
    <n v="92111"/>
    <s v="S"/>
    <n v="32.821761000000002"/>
    <n v="-117.180013"/>
    <s v="Shopping"/>
    <n v="1.5"/>
    <m/>
    <s v="Total"/>
    <n v="1.25"/>
    <m/>
    <n v="7"/>
    <m/>
    <m/>
    <m/>
    <n v="0"/>
    <n v="5265000"/>
    <m/>
    <m/>
    <x v="51"/>
    <n v="1.17"/>
    <n v="7.78"/>
    <x v="18"/>
    <m/>
  </r>
  <r>
    <s v="Home Depot"/>
    <s v="5680 Balboa Ave"/>
    <s v="San Diego, CA 92111"/>
    <n v="92111"/>
    <s v="S"/>
    <n v="32.822833000000003"/>
    <n v="-117.181054"/>
    <s v="Roof_Flat"/>
    <n v="0.75"/>
    <m/>
    <s v=""/>
    <n v="0.75"/>
    <m/>
    <n v="0"/>
    <n v="115000"/>
    <s v="Roof_Flat"/>
    <s v="Low"/>
    <n v="575000"/>
    <n v="0"/>
    <m/>
    <m/>
    <x v="51"/>
    <n v="1.17"/>
    <n v="7.78"/>
    <x v="18"/>
    <n v="0"/>
  </r>
  <r>
    <s v="Target"/>
    <s v="5680 Balboa Ave"/>
    <s v="San Diego, CA 92111"/>
    <n v="92111"/>
    <s v="S"/>
    <n v="32.822124000000002"/>
    <n v="-117.178781"/>
    <s v="Roof_Flat"/>
    <n v="0.75"/>
    <m/>
    <s v=""/>
    <n v="0.75"/>
    <m/>
    <n v="0"/>
    <n v="147000"/>
    <s v="Roof_Flat"/>
    <s v="Medium"/>
    <n v="882000"/>
    <n v="0"/>
    <m/>
    <m/>
    <x v="51"/>
    <n v="1.17"/>
    <n v="7.78"/>
    <x v="18"/>
    <n v="0"/>
  </r>
  <r>
    <s v="Albertsons"/>
    <s v="5680 Balboa Ave"/>
    <s v="San Diego, CA 92111"/>
    <n v="92111"/>
    <s v="S"/>
    <n v="32.821561000000003"/>
    <n v="-117.17720300000001"/>
    <s v="Roof_Flat"/>
    <n v="0.75"/>
    <m/>
    <s v=""/>
    <n v="0.75"/>
    <m/>
    <n v="0"/>
    <n v="49000"/>
    <s v="Roof_Flat"/>
    <s v="Low"/>
    <n v="245000"/>
    <n v="0"/>
    <m/>
    <m/>
    <x v="51"/>
    <n v="1.17"/>
    <n v="7.78"/>
    <x v="18"/>
    <n v="0"/>
  </r>
  <r>
    <s v="Home Depot Pkg"/>
    <s v="5680 Balboa Ave"/>
    <s v="San Diego, CA 92111"/>
    <n v="92111"/>
    <s v="S"/>
    <n v="32.821834000000003"/>
    <n v="-117.18154699999999"/>
    <s v="Pkg_Lot"/>
    <n v="0.75"/>
    <m/>
    <s v=""/>
    <n v="0.75"/>
    <m/>
    <n v="0"/>
    <n v="188000"/>
    <s v="Pkg_Lot"/>
    <s v="High"/>
    <n v="1316000"/>
    <n v="0"/>
    <m/>
    <m/>
    <x v="51"/>
    <n v="1.17"/>
    <n v="7.78"/>
    <x v="18"/>
    <n v="150"/>
  </r>
  <r>
    <s v="Target Pkg"/>
    <s v="5680 Balboa Ave"/>
    <s v="San Diego, CA 92111"/>
    <n v="92111"/>
    <s v="S"/>
    <n v="32.821188999999997"/>
    <n v="-117.179421"/>
    <s v="Pkg_Lot"/>
    <n v="0.75"/>
    <m/>
    <s v=""/>
    <n v="0.75"/>
    <m/>
    <n v="0"/>
    <n v="197000"/>
    <s v="Pkg_Lot"/>
    <s v="High"/>
    <n v="1379000"/>
    <n v="0"/>
    <m/>
    <m/>
    <x v="51"/>
    <n v="1.17"/>
    <n v="7.78"/>
    <x v="18"/>
    <n v="0"/>
  </r>
  <r>
    <s v="Albertsons Pkg"/>
    <s v="5680 Balboa Ave"/>
    <s v="San Diego, CA 92111"/>
    <n v="92111"/>
    <s v="S"/>
    <n v="32.820869000000002"/>
    <n v="-117.177769"/>
    <s v="Pkg_Lot"/>
    <n v="0.75"/>
    <m/>
    <s v=""/>
    <n v="0.75"/>
    <m/>
    <n v="0"/>
    <n v="124000"/>
    <s v="Pkg_Lot"/>
    <s v="High"/>
    <n v="868000"/>
    <n v="0"/>
    <m/>
    <m/>
    <x v="51"/>
    <n v="1.17"/>
    <n v="7.78"/>
    <x v="18"/>
    <n v="100"/>
  </r>
  <r>
    <s v="Balboa Mesa Shopping Ctr"/>
    <s v="5505 Balboa Ave"/>
    <s v="San Diego, CA 92111"/>
    <n v="92111"/>
    <s v="S"/>
    <n v="32.818815000000001"/>
    <n v="-117.17860899999999"/>
    <s v="Shopping"/>
    <n v="1.5"/>
    <m/>
    <s v="Total"/>
    <n v="1.25"/>
    <m/>
    <n v="7"/>
    <m/>
    <m/>
    <m/>
    <n v="0"/>
    <n v="2395000"/>
    <m/>
    <m/>
    <x v="19"/>
    <m/>
    <m/>
    <x v="7"/>
    <m/>
  </r>
  <r>
    <s v="Kohls_Vons"/>
    <s v="5505 Balboa Ave"/>
    <s v="San Diego, CA 92111"/>
    <n v="92111"/>
    <s v="S"/>
    <n v="32.818147000000003"/>
    <n v="-117.17960600000001"/>
    <s v="Roof_Flat"/>
    <n v="0.75"/>
    <m/>
    <s v=""/>
    <n v="0.75"/>
    <m/>
    <n v="0"/>
    <n v="104000"/>
    <s v="Roof_Flat"/>
    <s v="Medium"/>
    <n v="624000"/>
    <n v="0"/>
    <m/>
    <m/>
    <x v="52"/>
    <n v="1.27"/>
    <n v="8.4700000000000006"/>
    <x v="18"/>
    <n v="0"/>
  </r>
  <r>
    <s v="BMS Parking 1"/>
    <s v="5505 Balboa Ave"/>
    <s v="San Diego, CA 92111"/>
    <n v="92111"/>
    <s v="S"/>
    <n v="32.819209000000001"/>
    <n v="-117.18064099999999"/>
    <s v="Pkg_Lot"/>
    <n v="0.75"/>
    <m/>
    <s v=""/>
    <n v="0.75"/>
    <m/>
    <n v="0"/>
    <n v="35000"/>
    <s v="Pkg_Lot"/>
    <s v="High"/>
    <n v="245000"/>
    <n v="0"/>
    <m/>
    <m/>
    <x v="51"/>
    <n v="1.17"/>
    <n v="7.78"/>
    <x v="18"/>
    <n v="0"/>
  </r>
  <r>
    <s v="BMS Parking 2"/>
    <s v="5505 Balboa Ave"/>
    <s v="San Diego, CA 92111"/>
    <n v="92111"/>
    <s v="S"/>
    <n v="32.819643999999997"/>
    <n v="-117.17932"/>
    <s v="Pkg_Lot"/>
    <n v="0.75"/>
    <m/>
    <s v=""/>
    <n v="0.75"/>
    <m/>
    <n v="0"/>
    <n v="28000"/>
    <s v="Pkg_Lot"/>
    <s v="High"/>
    <n v="196000"/>
    <n v="0"/>
    <m/>
    <m/>
    <x v="51"/>
    <n v="1.17"/>
    <n v="7.78"/>
    <x v="18"/>
    <n v="0"/>
  </r>
  <r>
    <s v="BMS Parking 3"/>
    <s v="5505 Balboa Ave"/>
    <s v="San Diego, CA 92111"/>
    <n v="92111"/>
    <s v="S"/>
    <n v="32.818914999999997"/>
    <n v="-117.17983599999999"/>
    <s v="Pkg_Lot"/>
    <n v="0.75"/>
    <m/>
    <s v=""/>
    <n v="0.75"/>
    <m/>
    <n v="0"/>
    <n v="158000"/>
    <s v="Pkg_Lot"/>
    <s v="High"/>
    <n v="1106000"/>
    <n v="0"/>
    <m/>
    <m/>
    <x v="51"/>
    <n v="1.17"/>
    <n v="7.78"/>
    <x v="18"/>
    <n v="0"/>
  </r>
  <r>
    <s v="CVS"/>
    <s v="5505 Balboa Ave"/>
    <s v="San Diego, CA 92111"/>
    <n v="92111"/>
    <s v="S"/>
    <n v="32.819617000000001"/>
    <n v="-117.178686"/>
    <s v="Roof_Flat"/>
    <n v="0.75"/>
    <m/>
    <s v=""/>
    <n v="0.75"/>
    <m/>
    <n v="0"/>
    <n v="16000"/>
    <s v="Roof_Flat"/>
    <s v="High"/>
    <n v="112000"/>
    <n v="0"/>
    <m/>
    <m/>
    <x v="51"/>
    <n v="1.17"/>
    <n v="7.78"/>
    <x v="18"/>
    <n v="0"/>
  </r>
  <r>
    <s v="BMS Parking 4"/>
    <s v="5505 Balboa Ave"/>
    <s v="San Diego, CA 92111"/>
    <n v="92111"/>
    <s v="S"/>
    <n v="32.819208000000003"/>
    <n v="-117.177566"/>
    <s v="Pkg_Lot"/>
    <n v="0.75"/>
    <m/>
    <s v=""/>
    <n v="0.75"/>
    <m/>
    <n v="0"/>
    <n v="16000"/>
    <s v="Pkg_Lot"/>
    <s v="High"/>
    <n v="112000"/>
    <n v="0"/>
    <m/>
    <m/>
    <x v="52"/>
    <n v="1.27"/>
    <n v="8.4700000000000006"/>
    <x v="18"/>
    <n v="0"/>
  </r>
  <r>
    <s v="San Diego Mesa College"/>
    <s v="7250 Mesa College Dr"/>
    <s v="San Diego, CA 92111"/>
    <n v="92111"/>
    <s v="S"/>
    <n v="32.804749999999999"/>
    <n v="-117.16822000000001"/>
    <s v="Edu"/>
    <n v="1.5"/>
    <m/>
    <s v="Total"/>
    <n v="1.25"/>
    <m/>
    <n v="10"/>
    <m/>
    <m/>
    <m/>
    <n v="0"/>
    <n v="2891000"/>
    <m/>
    <m/>
    <x v="53"/>
    <n v="1.26"/>
    <n v="8.42"/>
    <x v="19"/>
    <m/>
  </r>
  <r>
    <s v="SDMC Pkg 1A Existing"/>
    <s v="7250 Mesa College Dr"/>
    <s v="San Diego, CA 92111"/>
    <n v="92111"/>
    <s v="S"/>
    <n v="32.806272"/>
    <n v="-117.17052099999999"/>
    <s v="Target"/>
    <n v="0.75"/>
    <s v="Red"/>
    <s v=""/>
    <n v="0.75"/>
    <m/>
    <n v="0"/>
    <m/>
    <s v="Existing"/>
    <m/>
    <n v="0"/>
    <n v="0"/>
    <m/>
    <m/>
    <x v="53"/>
    <n v="1.26"/>
    <n v="8.42"/>
    <x v="19"/>
    <n v="0"/>
  </r>
  <r>
    <s v="SDMC Pkg 1B"/>
    <s v="7250 Mesa College Dr"/>
    <s v="San Diego, CA 92111"/>
    <n v="92111"/>
    <s v="S"/>
    <n v="32.806049000000002"/>
    <n v="-117.16973900000001"/>
    <s v="Pkg_Lot"/>
    <n v="0.75"/>
    <m/>
    <s v=""/>
    <n v="0.75"/>
    <m/>
    <n v="0"/>
    <n v="178000"/>
    <s v="Pkg_Lot"/>
    <s v="High"/>
    <n v="1246000"/>
    <n v="0"/>
    <m/>
    <m/>
    <x v="53"/>
    <n v="1.26"/>
    <n v="8.42"/>
    <x v="19"/>
    <n v="400"/>
  </r>
  <r>
    <s v="SDMC Pkg 2"/>
    <s v="7250 Mesa College Dr"/>
    <s v="San Diego, CA 92111"/>
    <n v="92111"/>
    <s v="S"/>
    <n v="32.803398999999999"/>
    <n v="-117.172128"/>
    <s v="Pkg_Lot"/>
    <n v="0.75"/>
    <m/>
    <s v=""/>
    <n v="0.75"/>
    <m/>
    <n v="0"/>
    <n v="40000"/>
    <s v="Pkg_Lot"/>
    <s v="High"/>
    <n v="280000"/>
    <n v="0"/>
    <m/>
    <m/>
    <x v="53"/>
    <n v="1.26"/>
    <n v="8.42"/>
    <x v="19"/>
    <n v="500"/>
  </r>
  <r>
    <s v="SDMC Pkg 3"/>
    <s v="7250 Mesa College Dr"/>
    <s v="San Diego, CA 92111"/>
    <n v="92111"/>
    <s v="S"/>
    <n v="32.803113000000003"/>
    <n v="-117.172527"/>
    <s v="Pkg_Lot"/>
    <n v="0.75"/>
    <m/>
    <s v=""/>
    <n v="0.75"/>
    <m/>
    <n v="0"/>
    <n v="24000"/>
    <s v="Pkg_Lot"/>
    <s v="High"/>
    <n v="168000"/>
    <n v="0"/>
    <m/>
    <m/>
    <x v="53"/>
    <n v="1.26"/>
    <n v="8.42"/>
    <x v="19"/>
    <n v="500"/>
  </r>
  <r>
    <s v="SDMC Pkg 4"/>
    <s v="7250 Mesa College Dr"/>
    <s v="San Diego, CA 92111"/>
    <n v="92111"/>
    <s v="S"/>
    <n v="32.805360999999998"/>
    <n v="-117.164299"/>
    <s v="Pkg_Lot"/>
    <n v="0.75"/>
    <m/>
    <s v=""/>
    <n v="0.75"/>
    <m/>
    <n v="0"/>
    <n v="85000"/>
    <s v="Pkg_Lot"/>
    <s v="High"/>
    <n v="595000"/>
    <n v="0"/>
    <m/>
    <m/>
    <x v="53"/>
    <n v="1.26"/>
    <n v="8.42"/>
    <x v="19"/>
    <n v="100"/>
  </r>
  <r>
    <s v="SDMC Pkg 5"/>
    <s v="7250 Mesa College Dr"/>
    <s v="San Diego, CA 92111"/>
    <n v="92111"/>
    <s v="S"/>
    <n v="32.804648"/>
    <n v="-117.162874"/>
    <s v="Pkg_Lot"/>
    <n v="0.75"/>
    <m/>
    <s v=""/>
    <n v="0.75"/>
    <m/>
    <n v="0"/>
    <n v="49000"/>
    <s v="Pkg_Lot"/>
    <s v="High"/>
    <n v="343000"/>
    <n v="0"/>
    <m/>
    <m/>
    <x v="53"/>
    <n v="1.26"/>
    <n v="8.42"/>
    <x v="19"/>
    <n v="50"/>
  </r>
  <r>
    <s v="SDMC Pkg 6"/>
    <s v="7250 Mesa College Dr"/>
    <s v="San Diego, CA 92111"/>
    <n v="92111"/>
    <s v="S"/>
    <n v="32.803874999999998"/>
    <n v="-117.16291200000001"/>
    <s v="Pkg_Lot"/>
    <n v="0.75"/>
    <m/>
    <s v=""/>
    <n v="0.75"/>
    <m/>
    <n v="0"/>
    <n v="37000"/>
    <s v="Pkg_Lot"/>
    <s v="High"/>
    <n v="259000"/>
    <n v="0"/>
    <m/>
    <m/>
    <x v="53"/>
    <n v="1.26"/>
    <n v="8.42"/>
    <x v="19"/>
    <n v="100"/>
  </r>
  <r>
    <s v="SDMC Pkg 7"/>
    <s v="7250 Mesa College Dr"/>
    <s v="San Diego, CA 92111"/>
    <n v="92111"/>
    <s v="S"/>
    <n v="32.806145000000001"/>
    <n v="-117.163235"/>
    <s v="Target"/>
    <n v="0.75"/>
    <s v="Red"/>
    <s v=""/>
    <n v="0.75"/>
    <m/>
    <n v="0"/>
    <m/>
    <s v="Existing"/>
    <m/>
    <n v="0"/>
    <n v="0"/>
    <m/>
    <m/>
    <x v="53"/>
    <n v="1.26"/>
    <n v="8.42"/>
    <x v="19"/>
    <n v="0"/>
  </r>
  <r>
    <s v="SDMC Pkg 8"/>
    <s v="7250 Mesa College Dr"/>
    <s v="San Diego, CA 92111"/>
    <n v="92111"/>
    <s v="S"/>
    <n v="32.803522999999998"/>
    <n v="-117.1652"/>
    <s v="Target"/>
    <n v="0.75"/>
    <s v="Red"/>
    <s v=""/>
    <n v="0.75"/>
    <m/>
    <n v="0"/>
    <m/>
    <s v="Existing"/>
    <m/>
    <n v="0"/>
    <n v="0"/>
    <m/>
    <m/>
    <x v="53"/>
    <n v="1.26"/>
    <n v="8.42"/>
    <x v="19"/>
    <n v="0"/>
  </r>
  <r>
    <s v="Zion Market Shopping Ctr"/>
    <s v="7655 Clairemont Mesa Blvd"/>
    <s v="San Diego, CA 92111"/>
    <n v="92111"/>
    <s v="S"/>
    <n v="32.831798999999997"/>
    <n v="-117.155901"/>
    <s v="Shopping"/>
    <n v="1.5"/>
    <m/>
    <s v="Total"/>
    <n v="1.25"/>
    <m/>
    <n v="5"/>
    <m/>
    <m/>
    <m/>
    <n v="0"/>
    <n v="2553000"/>
    <s v="SDG&amp;E suspended ICA"/>
    <m/>
    <x v="54"/>
    <n v="1.77"/>
    <n v="11.79"/>
    <x v="17"/>
    <m/>
  </r>
  <r>
    <s v="Zion Market pkg lot"/>
    <s v="7655 Clairemont Mesa Blvd"/>
    <s v="San Diego, CA 92111"/>
    <n v="92111"/>
    <s v="S"/>
    <n v="32.832071999999997"/>
    <n v="-117.15475499999999"/>
    <s v="Pkg_Lot"/>
    <n v="0.75"/>
    <m/>
    <s v=""/>
    <n v="0.75"/>
    <m/>
    <n v="0"/>
    <n v="194000"/>
    <s v="Pkg_Lot"/>
    <s v="High"/>
    <n v="1358000"/>
    <n v="0"/>
    <m/>
    <m/>
    <x v="54"/>
    <n v="1.77"/>
    <n v="11.79"/>
    <x v="17"/>
    <n v="100"/>
  </r>
  <r>
    <s v="Zion Market bldg"/>
    <s v="7655 Clairemont Mesa Blvd"/>
    <s v="San Diego, CA 92111"/>
    <n v="92111"/>
    <s v="S"/>
    <n v="32.831339999999997"/>
    <n v="-117.155406"/>
    <s v="Roof_Flat"/>
    <n v="0.75"/>
    <m/>
    <s v=""/>
    <n v="0.75"/>
    <m/>
    <n v="0"/>
    <n v="93000"/>
    <s v="Roof_Flat"/>
    <s v="Medium"/>
    <n v="558000"/>
    <n v="0"/>
    <m/>
    <m/>
    <x v="54"/>
    <n v="1.77"/>
    <n v="11.79"/>
    <x v="17"/>
    <n v="400"/>
  </r>
  <r>
    <s v="Kearny Mesa Bowl bldg"/>
    <s v="7655 Clairemont Mesa Blvd"/>
    <s v="San Diego, CA 92111"/>
    <n v="92111"/>
    <s v="S"/>
    <n v="32.831358000000002"/>
    <n v="-117.15649999999999"/>
    <s v="Roof_Flat"/>
    <n v="0.75"/>
    <m/>
    <s v=""/>
    <n v="0.75"/>
    <m/>
    <n v="0"/>
    <n v="35000"/>
    <s v="Roof_Flat"/>
    <s v="Medium"/>
    <n v="210000"/>
    <n v="0"/>
    <m/>
    <m/>
    <x v="54"/>
    <n v="1.77"/>
    <n v="11.79"/>
    <x v="17"/>
    <n v="400"/>
  </r>
  <r>
    <s v="Kearny Mesa Bowl pkg"/>
    <s v="7655 Clairemont Mesa Blvd"/>
    <s v="San Diego, CA 92111"/>
    <n v="92111"/>
    <s v="S"/>
    <n v="32.832104999999999"/>
    <n v="-117.15643799999999"/>
    <s v="Pkg_Lot"/>
    <n v="0.75"/>
    <m/>
    <s v=""/>
    <n v="0.75"/>
    <m/>
    <n v="0"/>
    <n v="61000"/>
    <s v="Pkg_Lot"/>
    <s v="High"/>
    <n v="427000"/>
    <n v="0"/>
    <m/>
    <m/>
    <x v="54"/>
    <n v="1.77"/>
    <n v="11.79"/>
    <x v="17"/>
    <n v="100"/>
  </r>
  <r>
    <s v="San Diego Unified School District Physical Plant Operations Center"/>
    <s v="4860 Ruffner St"/>
    <s v="San Diego, CA 92111"/>
    <n v="92111"/>
    <s v="S"/>
    <n v="32.829765999999999"/>
    <n v="-117.161151"/>
    <s v="Edu"/>
    <n v="1.5"/>
    <m/>
    <s v="Total"/>
    <n v="1.25"/>
    <m/>
    <n v="4"/>
    <m/>
    <m/>
    <m/>
    <n v="0"/>
    <n v="1372000"/>
    <m/>
    <m/>
    <x v="54"/>
    <n v="1.77"/>
    <n v="11.79"/>
    <x v="17"/>
    <m/>
  </r>
  <r>
    <s v="SD USD Pkg Lot E"/>
    <s v="4860 Ruffner St"/>
    <s v="San Diego, CA 92111"/>
    <n v="92111"/>
    <s v="S"/>
    <n v="32.829576000000003"/>
    <n v="-117.15940000000001"/>
    <s v="Pkg_Lot"/>
    <n v="0.75"/>
    <m/>
    <s v=""/>
    <n v="0.75"/>
    <m/>
    <n v="0"/>
    <n v="81000"/>
    <s v="Pkg_Lot"/>
    <s v="High"/>
    <n v="567000"/>
    <n v="0"/>
    <m/>
    <m/>
    <x v="54"/>
    <n v="1.77"/>
    <n v="11.79"/>
    <x v="17"/>
    <n v="200"/>
  </r>
  <r>
    <s v="SD USD Pkg Lot S"/>
    <s v="4860 Ruffner St"/>
    <s v="San Diego, CA 92111"/>
    <n v="92111"/>
    <s v="S"/>
    <n v="32.829270000000001"/>
    <n v="-117.160794"/>
    <s v="Pkg_Lot"/>
    <n v="0.75"/>
    <m/>
    <s v=""/>
    <n v="0.75"/>
    <m/>
    <n v="0"/>
    <n v="45000"/>
    <s v="Pkg_Lot"/>
    <s v="High"/>
    <n v="315000"/>
    <n v="0"/>
    <m/>
    <m/>
    <x v="54"/>
    <n v="1.77"/>
    <n v="11.79"/>
    <x v="17"/>
    <n v="200"/>
  </r>
  <r>
    <s v="SD USD Pkg Lot N"/>
    <s v="4860 Ruffner St"/>
    <s v="San Diego, CA 92111"/>
    <n v="92111"/>
    <s v="S"/>
    <n v="32.830329999999996"/>
    <n v="-117.160848"/>
    <s v="Pkg_Lot"/>
    <n v="0.75"/>
    <m/>
    <s v=""/>
    <n v="0.75"/>
    <m/>
    <n v="0"/>
    <n v="70000"/>
    <s v="Pkg_Lot"/>
    <s v="High"/>
    <n v="490000"/>
    <n v="0"/>
    <m/>
    <m/>
    <x v="54"/>
    <n v="1.77"/>
    <n v="11.79"/>
    <x v="17"/>
    <n v="500"/>
  </r>
  <r>
    <s v="SD USD Dept of Transportation Pkg Lot"/>
    <s v="4710 Cardin St"/>
    <s v="San Diego, CA 92111"/>
    <n v="92111"/>
    <s v="S"/>
    <n v="32.827883"/>
    <n v="-117.16501700000001"/>
    <s v="Pkg_Lot"/>
    <n v="1"/>
    <m/>
    <s v=""/>
    <n v="1"/>
    <m/>
    <n v="1"/>
    <m/>
    <m/>
    <m/>
    <m/>
    <m/>
    <s v="Canopy over buses"/>
    <m/>
    <x v="55"/>
    <n v="1.76"/>
    <n v="11.73"/>
    <x v="17"/>
    <n v="100"/>
  </r>
  <r>
    <s v="UPS Customer Ctr"/>
    <s v="7925 Ronson Rd"/>
    <s v="San Diego, CA 92111"/>
    <n v="92111"/>
    <s v="S"/>
    <n v="32.828280999999997"/>
    <n v="-117.15042800000001"/>
    <s v="Roof_Flat"/>
    <n v="1"/>
    <m/>
    <s v=""/>
    <n v="1"/>
    <m/>
    <n v="1"/>
    <n v="200000"/>
    <s v="Roof_Flat"/>
    <s v="High"/>
    <n v="1400000"/>
    <n v="1400000"/>
    <m/>
    <m/>
    <x v="56"/>
    <n v="1.5"/>
    <n v="9.9700000000000006"/>
    <x v="20"/>
    <n v="0"/>
  </r>
  <r>
    <s v="Mercedes-Benz of San Diego"/>
    <s v="4750 Kearny Mesa Rd"/>
    <s v="San Diego, CA 92111"/>
    <n v="92111"/>
    <s v="S"/>
    <n v="32.823827000000001"/>
    <n v="-117.147801"/>
    <s v="Biz"/>
    <n v="1.5"/>
    <m/>
    <s v="Total"/>
    <n v="1.25"/>
    <m/>
    <n v="4"/>
    <m/>
    <m/>
    <m/>
    <n v="0"/>
    <n v="1303000"/>
    <m/>
    <m/>
    <x v="57"/>
    <n v="1.48"/>
    <n v="9.84"/>
    <x v="20"/>
    <m/>
  </r>
  <r>
    <s v="Mercedes-Benz Pkg Lot S"/>
    <s v="4750 Kearny Mesa Rd"/>
    <s v="San Diego, CA 92111"/>
    <n v="92111"/>
    <s v="S"/>
    <n v="32.823197999999998"/>
    <n v="-117.14841"/>
    <s v="Pkg_Lot"/>
    <n v="0.75"/>
    <m/>
    <s v=""/>
    <n v="0.75"/>
    <m/>
    <n v="0"/>
    <n v="83000"/>
    <s v="Pkg_Lot"/>
    <s v="High"/>
    <n v="581000"/>
    <n v="0"/>
    <m/>
    <m/>
    <x v="57"/>
    <n v="1.48"/>
    <n v="9.84"/>
    <x v="20"/>
    <n v="300"/>
  </r>
  <r>
    <s v="Mercedes-Benz Pkg Lot E"/>
    <s v="4750 Kearny Mesa Rd"/>
    <s v="San Diego, CA 92111"/>
    <n v="92111"/>
    <s v="S"/>
    <n v="32.824071000000004"/>
    <n v="-117.146568"/>
    <s v="Pkg_Lot"/>
    <n v="0.75"/>
    <m/>
    <s v=""/>
    <n v="0.75"/>
    <m/>
    <n v="0"/>
    <n v="46000"/>
    <s v="Pkg_Lot"/>
    <s v="High"/>
    <n v="322000"/>
    <n v="0"/>
    <m/>
    <m/>
    <x v="57"/>
    <n v="1.48"/>
    <n v="9.84"/>
    <x v="20"/>
    <n v="200"/>
  </r>
  <r>
    <s v="Mercedes-Benz Bldg"/>
    <s v="4750 Kearny Mesa Rd"/>
    <s v="San Diego, CA 92111"/>
    <n v="92111"/>
    <s v="S"/>
    <n v="32.823991999999997"/>
    <n v="-117.147811"/>
    <s v="Roof_Flat"/>
    <n v="0.75"/>
    <m/>
    <s v=""/>
    <n v="0.75"/>
    <m/>
    <n v="0"/>
    <n v="80000"/>
    <s v="Roof_Flat"/>
    <s v="Low"/>
    <n v="400000"/>
    <n v="0"/>
    <m/>
    <m/>
    <x v="57"/>
    <n v="1.48"/>
    <n v="9.84"/>
    <x v="20"/>
    <n v="0"/>
  </r>
  <r>
    <s v="Costco Business Ctr"/>
    <s v="7803 Othello Ave"/>
    <s v="San Diego, CA 92111"/>
    <n v="92111"/>
    <s v="S"/>
    <n v="32.816096999999999"/>
    <n v="-117.152621"/>
    <s v="Shopping"/>
    <n v="1.5"/>
    <m/>
    <s v="Total"/>
    <n v="1.25"/>
    <m/>
    <n v="4"/>
    <m/>
    <m/>
    <m/>
    <n v="0"/>
    <n v="2545000"/>
    <m/>
    <m/>
    <x v="58"/>
    <n v="1.77"/>
    <n v="11.82"/>
    <x v="17"/>
    <m/>
  </r>
  <r>
    <s v="Costco Business Ctr"/>
    <s v="7803 Othello Ave"/>
    <s v="San Diego, CA 92111"/>
    <n v="92111"/>
    <s v="S"/>
    <n v="32.816516999999997"/>
    <n v="-117.153577"/>
    <s v="Roof_Flat"/>
    <n v="0.75"/>
    <m/>
    <s v=""/>
    <n v="0.75"/>
    <m/>
    <n v="0"/>
    <n v="94000"/>
    <s v="Roof_Flat"/>
    <s v="Medium"/>
    <n v="564000"/>
    <n v="0"/>
    <m/>
    <m/>
    <x v="58"/>
    <n v="1.77"/>
    <n v="11.82"/>
    <x v="17"/>
    <n v="50"/>
  </r>
  <r>
    <s v="Costco Business Ctr Pkg"/>
    <s v="7803 Othello Ave"/>
    <s v="San Diego, CA 92111"/>
    <n v="92111"/>
    <s v="S"/>
    <n v="32.815734999999997"/>
    <n v="-117.15258799999999"/>
    <s v="Pkg_Lot"/>
    <n v="0.75"/>
    <m/>
    <s v=""/>
    <n v="0.75"/>
    <m/>
    <n v="0"/>
    <n v="223000"/>
    <s v="Pkg_Lot"/>
    <s v="High"/>
    <n v="1561000"/>
    <n v="0"/>
    <m/>
    <m/>
    <x v="58"/>
    <n v="1.77"/>
    <n v="11.82"/>
    <x v="17"/>
    <n v="200"/>
  </r>
  <r>
    <s v="Target"/>
    <s v="7803 Othello Ave"/>
    <s v="San Diego, CA 92111"/>
    <n v="92111"/>
    <s v="S"/>
    <n v="32.816741999999998"/>
    <n v="-117.151662"/>
    <s v="Roof_Flat"/>
    <n v="0.75"/>
    <m/>
    <s v=""/>
    <n v="0.75"/>
    <m/>
    <n v="0"/>
    <n v="60000"/>
    <s v="Roof_Flat"/>
    <s v="High"/>
    <n v="420000"/>
    <n v="0"/>
    <m/>
    <m/>
    <x v="58"/>
    <n v="1.77"/>
    <n v="11.82"/>
    <x v="17"/>
    <n v="0"/>
  </r>
  <r>
    <s v="Raytheon Integrated Defense"/>
    <s v="8650 Balboa Ave"/>
    <s v="San Diego, CA 92123"/>
    <n v="92123"/>
    <s v="S"/>
    <n v="32.821136000000003"/>
    <n v="-117.141808"/>
    <s v="Biz"/>
    <n v="1.5"/>
    <m/>
    <s v="Total"/>
    <n v="1.25"/>
    <m/>
    <n v="4"/>
    <m/>
    <m/>
    <m/>
    <n v="0"/>
    <n v="2555000"/>
    <m/>
    <m/>
    <x v="59"/>
    <n v="1.76"/>
    <n v="11.55"/>
    <x v="17"/>
    <m/>
  </r>
  <r>
    <s v="Raytheon Bldg"/>
    <s v="8650 Balboa Ave"/>
    <s v="San Diego, CA 92123"/>
    <n v="92123"/>
    <s v="S"/>
    <n v="32.821680000000001"/>
    <n v="-117.141496"/>
    <s v="Roof_Flat"/>
    <n v="0.75"/>
    <m/>
    <s v=""/>
    <n v="0.75"/>
    <m/>
    <n v="0"/>
    <n v="125000"/>
    <s v="Roof_Flat"/>
    <s v="High"/>
    <n v="875000"/>
    <n v="0"/>
    <m/>
    <m/>
    <x v="59"/>
    <n v="1.76"/>
    <n v="11.55"/>
    <x v="17"/>
    <n v="100"/>
  </r>
  <r>
    <s v="Raytheon Pkg 1"/>
    <s v="8650 Balboa Ave"/>
    <s v="San Diego, CA 92123"/>
    <n v="92123"/>
    <s v="S"/>
    <n v="32.822451999999998"/>
    <n v="-117.141959"/>
    <s v="Pkg_Lot"/>
    <n v="0.75"/>
    <m/>
    <s v=""/>
    <n v="0.75"/>
    <m/>
    <n v="0"/>
    <n v="150000"/>
    <s v="Pkg_Lot"/>
    <s v="High"/>
    <n v="1050000"/>
    <n v="0"/>
    <m/>
    <m/>
    <x v="59"/>
    <n v="1.76"/>
    <n v="11.55"/>
    <x v="17"/>
    <n v="50"/>
  </r>
  <r>
    <s v="Raytheon Pkg 2"/>
    <s v="8650 Balboa Ave"/>
    <s v="San Diego, CA 92123"/>
    <n v="92123"/>
    <s v="S"/>
    <n v="32.821035999999999"/>
    <n v="-117.140433"/>
    <s v="Pkg_Lot"/>
    <n v="0.75"/>
    <m/>
    <s v=""/>
    <n v="0.75"/>
    <m/>
    <n v="0"/>
    <n v="90000"/>
    <s v="Pkg_Lot"/>
    <s v="High"/>
    <n v="630000"/>
    <n v="0"/>
    <m/>
    <m/>
    <x v="59"/>
    <n v="1.76"/>
    <n v="11.55"/>
    <x v="17"/>
    <n v="100"/>
  </r>
  <r>
    <s v="Kyocera Pkg Lot"/>
    <s v="8611 Balboa Ave"/>
    <s v="San Diego, CA 92123"/>
    <n v="92123"/>
    <s v="S"/>
    <n v="32.819049"/>
    <n v="-117.140096"/>
    <s v="Pkg_Lot"/>
    <n v="1"/>
    <m/>
    <s v=""/>
    <n v="1"/>
    <m/>
    <n v="1"/>
    <n v="223000"/>
    <s v="Pkg_Lot"/>
    <s v="High"/>
    <n v="1561000"/>
    <n v="1561000"/>
    <m/>
    <m/>
    <x v="60"/>
    <n v="0.78"/>
    <n v="5.23"/>
    <x v="20"/>
    <n v="0"/>
  </r>
  <r>
    <s v="San Diego Registrar of Voters"/>
    <s v="5600 Overland Ave"/>
    <s v="San Diego, CA 92123"/>
    <n v="92123"/>
    <s v="S"/>
    <n v="32.836889999999997"/>
    <n v="-117.130201"/>
    <s v="Government"/>
    <n v="1.5"/>
    <m/>
    <s v="Total"/>
    <n v="1.25"/>
    <m/>
    <n v="4"/>
    <m/>
    <m/>
    <m/>
    <n v="0"/>
    <n v="1335000"/>
    <m/>
    <m/>
    <x v="61"/>
    <n v="0.98"/>
    <n v="6.56"/>
    <x v="20"/>
    <m/>
  </r>
  <r>
    <s v="SD Reg Voters Bldg"/>
    <s v="5600 Overland Ave"/>
    <s v="San Diego, CA 92123"/>
    <n v="92123"/>
    <s v="S"/>
    <n v="32.836531999999998"/>
    <n v="-117.130207"/>
    <s v="Roof_Flat"/>
    <n v="0.75"/>
    <m/>
    <s v=""/>
    <n v="0.75"/>
    <m/>
    <n v="0"/>
    <n v="92000"/>
    <s v="Roof_Flat"/>
    <s v="Low"/>
    <n v="460000"/>
    <n v="0"/>
    <m/>
    <m/>
    <x v="61"/>
    <n v="0.98"/>
    <n v="6.56"/>
    <x v="20"/>
    <n v="0"/>
  </r>
  <r>
    <s v="SD Reg Voters Pkg Garage"/>
    <s v="5600 Overland Ave"/>
    <s v="San Diego, CA 92123"/>
    <n v="92123"/>
    <s v="S"/>
    <n v="32.836531999999998"/>
    <n v="-117.130207"/>
    <s v="Pkg_Garage"/>
    <n v="0.75"/>
    <m/>
    <s v=""/>
    <n v="0.75"/>
    <m/>
    <n v="0"/>
    <n v="61000"/>
    <s v="Pkg_Garage"/>
    <s v="High"/>
    <n v="427000"/>
    <n v="0"/>
    <m/>
    <m/>
    <x v="61"/>
    <n v="0.98"/>
    <n v="6.56"/>
    <x v="20"/>
    <n v="0"/>
  </r>
  <r>
    <s v="SD Reg Voters Pkg Lot"/>
    <s v="5600 Overland Ave"/>
    <s v="San Diego, CA 92123"/>
    <n v="92123"/>
    <s v="S"/>
    <n v="32.836117999999999"/>
    <n v="-117.129233"/>
    <s v="Pkg_Lot"/>
    <n v="0.75"/>
    <m/>
    <s v=""/>
    <n v="0.75"/>
    <m/>
    <n v="0"/>
    <n v="64000"/>
    <s v="Pkg_Lot"/>
    <s v="High"/>
    <n v="448000"/>
    <n v="0"/>
    <m/>
    <m/>
    <x v="61"/>
    <n v="0.98"/>
    <n v="6.56"/>
    <x v="20"/>
    <n v="0"/>
  </r>
  <r>
    <s v="Solar Turbines Inc."/>
    <s v="4200 Ruffin Rd"/>
    <s v="San Diego, CA 92123"/>
    <n v="92123"/>
    <s v="S"/>
    <n v="32.818032000000002"/>
    <n v="-117.128879"/>
    <s v="Pkg_Lot"/>
    <n v="1.5"/>
    <m/>
    <s v="Total"/>
    <n v="1.25"/>
    <m/>
    <n v="4"/>
    <m/>
    <m/>
    <m/>
    <n v="0"/>
    <n v="2800000"/>
    <m/>
    <m/>
    <x v="61"/>
    <n v="0.98"/>
    <n v="6.56"/>
    <x v="20"/>
    <m/>
  </r>
  <r>
    <s v="Solar Turbines Bldg"/>
    <s v="4200 Ruffin Rd"/>
    <s v="San Diego, CA 92123"/>
    <n v="92123"/>
    <s v="S"/>
    <n v="32.817402000000001"/>
    <n v="-117.12851000000001"/>
    <s v="Roof_Flat"/>
    <n v="0.75"/>
    <m/>
    <s v=""/>
    <n v="0.75"/>
    <m/>
    <n v="0"/>
    <n v="175000"/>
    <s v="Roof_Flat"/>
    <s v="High"/>
    <n v="1225000"/>
    <n v="0"/>
    <m/>
    <m/>
    <x v="61"/>
    <n v="0.98"/>
    <n v="6.56"/>
    <x v="20"/>
    <n v="220"/>
  </r>
  <r>
    <s v="Solar Turbines Pkg 1"/>
    <s v="4200 Ruffin Rd"/>
    <s v="San Diego, CA 92123"/>
    <n v="92123"/>
    <s v="S"/>
    <n v="32.818596999999997"/>
    <n v="-117.129569"/>
    <s v="Pkg_Lot"/>
    <n v="0.75"/>
    <m/>
    <s v=""/>
    <n v="0.75"/>
    <m/>
    <n v="0"/>
    <n v="85000"/>
    <s v="Pkg_Lot"/>
    <s v="High"/>
    <n v="595000"/>
    <n v="0"/>
    <m/>
    <m/>
    <x v="61"/>
    <n v="0.98"/>
    <n v="6.56"/>
    <x v="20"/>
    <n v="0"/>
  </r>
  <r>
    <s v="Solar Turbines Pkg 2"/>
    <s v="4200 Ruffin Rd"/>
    <s v="San Diego, CA 92123"/>
    <n v="92123"/>
    <s v="S"/>
    <n v="32.818468000000003"/>
    <n v="-117.126571"/>
    <s v="Pkg_Lot"/>
    <n v="0.75"/>
    <m/>
    <s v=""/>
    <n v="0.75"/>
    <m/>
    <n v="0"/>
    <n v="140000"/>
    <s v="Pkg_Lot"/>
    <s v="High"/>
    <n v="980000"/>
    <n v="0"/>
    <m/>
    <m/>
    <x v="61"/>
    <n v="0.98"/>
    <n v="6.56"/>
    <x v="20"/>
    <n v="100"/>
  </r>
  <r>
    <s v="AIS Data Centers"/>
    <s v="9305 Lightwave Ave"/>
    <s v="San Diego, CA 92123"/>
    <n v="92123"/>
    <s v="S"/>
    <n v="32.828301000000003"/>
    <n v="-117.13041699999999"/>
    <s v="Biz"/>
    <n v="1.5"/>
    <m/>
    <s v="Total"/>
    <n v="1.25"/>
    <m/>
    <n v="3"/>
    <m/>
    <m/>
    <m/>
    <n v="0"/>
    <n v="1460000"/>
    <m/>
    <m/>
    <x v="62"/>
    <n v="1.45"/>
    <n v="9.66"/>
    <x v="20"/>
    <m/>
  </r>
  <r>
    <s v="AIS Data Centers Pkg Lot"/>
    <s v="9305 Lightwave Ave"/>
    <s v="San Diego, CA 92123"/>
    <n v="92123"/>
    <s v="S"/>
    <n v="32.828710000000001"/>
    <n v="-117.130291"/>
    <s v="Pkg_Lot"/>
    <n v="0.75"/>
    <m/>
    <s v=""/>
    <n v="0.75"/>
    <m/>
    <n v="0"/>
    <n v="176000"/>
    <s v="Pkg_Lot"/>
    <s v="High"/>
    <n v="1232000"/>
    <n v="0"/>
    <m/>
    <m/>
    <x v="62"/>
    <n v="1.45"/>
    <n v="9.66"/>
    <x v="20"/>
    <n v="0"/>
  </r>
  <r>
    <s v="AIS Data Centers Roof"/>
    <s v="9305 Lightwave Ave"/>
    <s v="San Diego, CA 92123"/>
    <n v="92123"/>
    <s v="S"/>
    <n v="32.827835999999998"/>
    <n v="-117.13039499999999"/>
    <s v="Roof_Flat"/>
    <n v="0.75"/>
    <m/>
    <s v=""/>
    <n v="0.75"/>
    <m/>
    <n v="0"/>
    <n v="38000"/>
    <s v="Roof_Flat"/>
    <s v="Medium"/>
    <n v="228000"/>
    <n v="0"/>
    <m/>
    <m/>
    <x v="62"/>
    <n v="1.45"/>
    <n v="9.66"/>
    <x v="20"/>
    <n v="0"/>
  </r>
  <r>
    <s v="Sharp Human Resources"/>
    <s v="8695 Spectrum Center Blvd"/>
    <s v="San Diego, CA 92123"/>
    <n v="92123"/>
    <s v="S"/>
    <n v="32.825248000000002"/>
    <n v="-117.14045900000001"/>
    <s v="Biz"/>
    <n v="1.5"/>
    <m/>
    <s v="Total"/>
    <n v="1.25"/>
    <m/>
    <n v="5"/>
    <m/>
    <m/>
    <m/>
    <n v="0"/>
    <n v="2219000"/>
    <m/>
    <m/>
    <x v="59"/>
    <n v="1.76"/>
    <n v="11.75"/>
    <x v="17"/>
    <m/>
  </r>
  <r>
    <s v="Sharp HR Roof N"/>
    <s v="8695 Spectrum Center Blvd"/>
    <s v="San Diego, CA 92123"/>
    <n v="92123"/>
    <s v="S"/>
    <n v="32.825614000000002"/>
    <n v="-117.140407"/>
    <s v="Roof_Flat"/>
    <n v="0.75"/>
    <m/>
    <s v=""/>
    <n v="0.75"/>
    <m/>
    <n v="0"/>
    <n v="17000"/>
    <s v="Roof_Flat"/>
    <s v="High"/>
    <n v="119000"/>
    <n v="0"/>
    <m/>
    <m/>
    <x v="59"/>
    <n v="1.76"/>
    <n v="11.75"/>
    <x v="17"/>
    <n v="200"/>
  </r>
  <r>
    <s v="Sharp HR Roof S"/>
    <s v="8695 Spectrum Center Blvd"/>
    <s v="San Diego, CA 92123"/>
    <n v="92123"/>
    <s v="S"/>
    <n v="32.824919999999999"/>
    <n v="-117.140435"/>
    <s v="Roof_Flat"/>
    <n v="0.75"/>
    <m/>
    <s v=""/>
    <n v="0.75"/>
    <m/>
    <n v="0"/>
    <n v="16000"/>
    <s v="Roof_Flat"/>
    <s v="High"/>
    <n v="112000"/>
    <n v="0"/>
    <m/>
    <m/>
    <x v="59"/>
    <n v="1.76"/>
    <n v="11.75"/>
    <x v="17"/>
    <n v="500"/>
  </r>
  <r>
    <s v="Sharp HR Pkg Lot W"/>
    <s v="8695 Spectrum Center Blvd"/>
    <s v="San Diego, CA 92123"/>
    <n v="92123"/>
    <s v="S"/>
    <n v="32.824773999999998"/>
    <n v="-117.14154600000001"/>
    <s v="Pkg_Lot"/>
    <n v="0.75"/>
    <m/>
    <s v=""/>
    <n v="0.75"/>
    <m/>
    <n v="0"/>
    <n v="177000"/>
    <s v="Pkg_Lot"/>
    <s v="High"/>
    <n v="1239000"/>
    <n v="0"/>
    <m/>
    <m/>
    <x v="59"/>
    <n v="1.76"/>
    <n v="11.75"/>
    <x v="17"/>
    <n v="0"/>
  </r>
  <r>
    <s v="Sharp HR Pkg Lot E"/>
    <s v="8695 Spectrum Center Blvd"/>
    <s v="San Diego, CA 92123"/>
    <n v="92123"/>
    <s v="S"/>
    <n v="32.824787000000001"/>
    <n v="-117.139866"/>
    <s v="Pkg_Lot"/>
    <n v="0.75"/>
    <m/>
    <s v=""/>
    <n v="0.75"/>
    <m/>
    <n v="0"/>
    <n v="107000"/>
    <s v="Pkg_Lot"/>
    <s v="High"/>
    <n v="749000"/>
    <n v="0"/>
    <m/>
    <m/>
    <x v="59"/>
    <n v="1.76"/>
    <n v="11.75"/>
    <x v="17"/>
    <n v="500"/>
  </r>
  <r>
    <s v="Sharp Rees-Stealy Occupational Medicine Administrative Offices"/>
    <s v="4000 Ruffin Rd"/>
    <s v="San Diego, CA 92123"/>
    <n v="92123"/>
    <s v="S"/>
    <n v="32.814155"/>
    <n v="-117.124645"/>
    <s v="Roof_Flat"/>
    <n v="1"/>
    <m/>
    <s v=""/>
    <n v="1"/>
    <m/>
    <n v="1"/>
    <n v="385000"/>
    <s v="Roof_Flat"/>
    <s v="High"/>
    <n v="2695000"/>
    <n v="2695000"/>
    <m/>
    <m/>
    <x v="63"/>
    <n v="1.36"/>
    <n v="9.06"/>
    <x v="19"/>
    <n v="200"/>
  </r>
  <r>
    <s v="American Red Cross San Diego/Imperial Counties"/>
    <s v="3950 Calle Fortunada"/>
    <s v="San Diego, CA 92123"/>
    <n v="92123"/>
    <s v="S"/>
    <n v="32.813541000000001"/>
    <n v="-117.123402"/>
    <s v="Target"/>
    <n v="1"/>
    <s v="Red"/>
    <s v=""/>
    <n v="1"/>
    <m/>
    <n v="1"/>
    <m/>
    <s v="Existing"/>
    <m/>
    <n v="0"/>
    <n v="0"/>
    <m/>
    <m/>
    <x v="19"/>
    <m/>
    <m/>
    <x v="7"/>
    <m/>
  </r>
  <r>
    <s v="University of Phoenix - San Diego Campus"/>
    <s v="9645 Granite Ridge Dr"/>
    <s v="San Diego, CA 92123"/>
    <n v="92123"/>
    <s v="S"/>
    <n v="32.805791999999997"/>
    <n v="-117.119888"/>
    <s v="Edu"/>
    <n v="1.5"/>
    <m/>
    <s v="Total"/>
    <n v="1.25"/>
    <m/>
    <n v="5"/>
    <m/>
    <m/>
    <m/>
    <n v="0"/>
    <n v="1855420"/>
    <m/>
    <m/>
    <x v="63"/>
    <n v="1.36"/>
    <n v="9.06"/>
    <x v="19"/>
    <m/>
  </r>
  <r>
    <s v="UoPhoenix Bldg W"/>
    <s v="9645 Granite Ridge Dr"/>
    <s v="San Diego, CA 92123"/>
    <n v="92123"/>
    <s v="S"/>
    <n v="32.805591999999997"/>
    <n v="-117.12035299999999"/>
    <s v="Roof_Flat"/>
    <n v="0.75"/>
    <m/>
    <s v=""/>
    <n v="0.75"/>
    <m/>
    <n v="0"/>
    <n v="16900"/>
    <s v="Roof_Flat"/>
    <s v="High"/>
    <n v="118300"/>
    <n v="0"/>
    <m/>
    <m/>
    <x v="63"/>
    <n v="1.36"/>
    <n v="9.06"/>
    <x v="19"/>
    <n v="0"/>
  </r>
  <r>
    <s v="UoPhoenix Bldg S"/>
    <s v="9645 Granite Ridge Dr"/>
    <s v="San Diego, CA 92123"/>
    <n v="92123"/>
    <s v="S"/>
    <n v="32.805318999999997"/>
    <n v="-117.11985799999999"/>
    <s v="Roof_Flat"/>
    <n v="0.75"/>
    <m/>
    <s v=""/>
    <n v="0.75"/>
    <m/>
    <n v="0"/>
    <n v="17160"/>
    <s v="Roof_Flat"/>
    <s v="High"/>
    <n v="120120"/>
    <n v="0"/>
    <m/>
    <m/>
    <x v="63"/>
    <n v="1.36"/>
    <n v="9.06"/>
    <x v="19"/>
    <n v="0"/>
  </r>
  <r>
    <s v="UoPhoenix Pkg Lot"/>
    <s v="9645 Granite Ridge Dr"/>
    <s v="San Diego, CA 92123"/>
    <n v="92123"/>
    <s v="S"/>
    <n v="32.805325000000003"/>
    <n v="-117.119035"/>
    <s v="Pkg_Lot"/>
    <n v="0.75"/>
    <m/>
    <s v=""/>
    <n v="0.75"/>
    <m/>
    <n v="0"/>
    <n v="175000"/>
    <s v="Pkg_Lot"/>
    <s v="High"/>
    <n v="1225000"/>
    <n v="0"/>
    <m/>
    <m/>
    <x v="63"/>
    <n v="1.36"/>
    <n v="9.06"/>
    <x v="19"/>
    <n v="200"/>
  </r>
  <r>
    <s v="UoPhoenix Pkg Garage"/>
    <s v="9645 Granite Ridge Dr"/>
    <s v="San Diego, CA 92123"/>
    <n v="92123"/>
    <s v="S"/>
    <n v="32.804229999999997"/>
    <n v="-117.12084"/>
    <s v="Pkg_Garage"/>
    <n v="0.75"/>
    <m/>
    <s v=""/>
    <n v="0.75"/>
    <m/>
    <n v="0"/>
    <n v="56000"/>
    <s v="Pkg_Garage"/>
    <s v="High"/>
    <n v="392000"/>
    <n v="0"/>
    <m/>
    <m/>
    <x v="63"/>
    <n v="1.36"/>
    <n v="9.06"/>
    <x v="19"/>
    <n v="0"/>
  </r>
  <r>
    <s v="Shopping Ctr on Murphy Cyn Rd"/>
    <s v="3382 Murphy Canyon Rd"/>
    <s v="San Diego, CA 92123"/>
    <n v="92123"/>
    <s v="S"/>
    <n v="32.805807999999999"/>
    <n v="-117.11675200000001"/>
    <s v="Shopping"/>
    <n v="1.5"/>
    <m/>
    <s v="Total"/>
    <n v="1.25"/>
    <m/>
    <n v="6"/>
    <m/>
    <m/>
    <m/>
    <n v="0"/>
    <n v="3590000"/>
    <m/>
    <m/>
    <x v="63"/>
    <n v="1.36"/>
    <n v="9.06"/>
    <x v="19"/>
    <m/>
  </r>
  <r>
    <s v="Von's"/>
    <s v="3382 Murphy Canyon Rd"/>
    <s v="San Diego, CA 92123"/>
    <n v="92123"/>
    <s v="S"/>
    <n v="32.807203000000001"/>
    <n v="-117.11656000000001"/>
    <s v="Roof_Flat"/>
    <n v="0.75"/>
    <m/>
    <s v=""/>
    <n v="0.75"/>
    <m/>
    <n v="0"/>
    <n v="50000"/>
    <s v="Roof_Flat"/>
    <s v="High"/>
    <n v="350000"/>
    <n v="0"/>
    <m/>
    <m/>
    <x v="63"/>
    <n v="1.36"/>
    <n v="9.06"/>
    <x v="19"/>
    <n v="0"/>
  </r>
  <r>
    <s v="Petsmart"/>
    <s v="3382 Murphy Canyon Rd"/>
    <s v="San Diego, CA 92123"/>
    <n v="92123"/>
    <s v="S"/>
    <n v="32.806355000000003"/>
    <n v="-117.116435"/>
    <s v="Roof_Flat"/>
    <n v="0.75"/>
    <m/>
    <s v=""/>
    <n v="0.75"/>
    <m/>
    <n v="0"/>
    <n v="36000"/>
    <s v="Roof_Flat"/>
    <s v="Medium"/>
    <n v="216000"/>
    <n v="0"/>
    <m/>
    <m/>
    <x v="63"/>
    <n v="1.36"/>
    <n v="9.06"/>
    <x v="19"/>
    <n v="0"/>
  </r>
  <r>
    <s v="Walmart"/>
    <s v="3382 Murphy Canyon Rd"/>
    <s v="San Diego, CA 92123"/>
    <n v="92123"/>
    <s v="S"/>
    <n v="32.805236000000001"/>
    <n v="-117.116366"/>
    <s v="Target"/>
    <n v="0.75"/>
    <s v="Red"/>
    <s v=""/>
    <n v="0.75"/>
    <m/>
    <n v="0"/>
    <m/>
    <s v="Existing"/>
    <m/>
    <n v="0"/>
    <n v="0"/>
    <m/>
    <m/>
    <x v="19"/>
    <m/>
    <m/>
    <x v="7"/>
    <m/>
  </r>
  <r>
    <s v="Murphy Cyn Pkg 1"/>
    <s v="3382 Murphy Canyon Rd"/>
    <s v="San Diego, CA 92123"/>
    <n v="92123"/>
    <s v="S"/>
    <n v="32.80744"/>
    <n v="-117.115634"/>
    <s v="Pkg_Lot"/>
    <n v="0.75"/>
    <m/>
    <s v=""/>
    <n v="0.75"/>
    <m/>
    <n v="0"/>
    <n v="114000"/>
    <s v="Pkg_Lot"/>
    <s v="High"/>
    <n v="798000"/>
    <n v="0"/>
    <m/>
    <m/>
    <x v="63"/>
    <n v="1.36"/>
    <n v="9.06"/>
    <x v="19"/>
    <n v="100"/>
  </r>
  <r>
    <s v="Murphy Cyn Pkg 2"/>
    <s v="3382 Murphy Canyon Rd"/>
    <s v="San Diego, CA 92123"/>
    <n v="92123"/>
    <s v="S"/>
    <n v="32.805849000000002"/>
    <n v="-117.11524799999999"/>
    <s v="Pkg_Lot"/>
    <n v="0.75"/>
    <m/>
    <s v=""/>
    <n v="0.75"/>
    <m/>
    <n v="0"/>
    <n v="318000"/>
    <s v="Pkg_Lot"/>
    <s v="High"/>
    <n v="2226000"/>
    <n v="0"/>
    <m/>
    <m/>
    <x v="63"/>
    <n v="1.36"/>
    <n v="9.06"/>
    <x v="19"/>
    <n v="100"/>
  </r>
  <r>
    <s v="Frys Electronics"/>
    <s v="9825 Stonecrest Blvd"/>
    <s v="San Diego, CA 92123"/>
    <n v="92123"/>
    <s v="S"/>
    <n v="32.801890999999998"/>
    <n v="-117.114633"/>
    <s v="Shopping"/>
    <n v="1.5"/>
    <m/>
    <s v="Total"/>
    <n v="1.25"/>
    <m/>
    <n v="3"/>
    <m/>
    <m/>
    <m/>
    <n v="0"/>
    <n v="2723000"/>
    <m/>
    <m/>
    <x v="63"/>
    <n v="1.36"/>
    <n v="9.06"/>
    <x v="19"/>
    <m/>
  </r>
  <r>
    <s v="Frys Bldg"/>
    <s v="9825 Stonecrest Blvd"/>
    <s v="San Diego, CA 92123"/>
    <n v="92123"/>
    <s v="S"/>
    <n v="32.801214000000002"/>
    <n v="-117.114609"/>
    <s v="Roof_Flat"/>
    <n v="0.75"/>
    <m/>
    <s v=""/>
    <n v="0.75"/>
    <m/>
    <n v="0"/>
    <n v="139000"/>
    <s v="Roof_Flat"/>
    <s v="High"/>
    <n v="973000"/>
    <n v="0"/>
    <m/>
    <m/>
    <x v="63"/>
    <n v="1.36"/>
    <n v="9.06"/>
    <x v="19"/>
    <n v="50"/>
  </r>
  <r>
    <s v="Frys Pkg"/>
    <s v="9825 Stonecrest Blvd"/>
    <s v="San Diego, CA 92123"/>
    <n v="92123"/>
    <s v="S"/>
    <n v="32.802720999999998"/>
    <n v="-117.114794"/>
    <s v="Pkg_Lot"/>
    <n v="0.75"/>
    <m/>
    <s v=""/>
    <n v="0.75"/>
    <m/>
    <n v="0"/>
    <n v="250000"/>
    <s v="Pkg_Lot"/>
    <s v="High"/>
    <n v="1750000"/>
    <n v="0"/>
    <m/>
    <m/>
    <x v="63"/>
    <n v="1.36"/>
    <n v="9.06"/>
    <x v="19"/>
    <n v="0"/>
  </r>
  <r>
    <s v="San Diego Juvenile Probation"/>
    <s v="2901 Meadow Lark Dr"/>
    <s v="San Diego, CA 92123"/>
    <n v="92123"/>
    <s v="S"/>
    <n v="32.795997"/>
    <n v="-117.153598"/>
    <s v="Government"/>
    <n v="1.5"/>
    <m/>
    <s v="Total"/>
    <n v="1.25"/>
    <m/>
    <n v="3"/>
    <m/>
    <m/>
    <m/>
    <n v="0"/>
    <n v="1274000"/>
    <m/>
    <m/>
    <x v="64"/>
    <n v="1.19"/>
    <n v="7.92"/>
    <x v="21"/>
    <m/>
  </r>
  <r>
    <s v="SDJuve Prob Roof"/>
    <s v="2901 Meadow Lark Dr"/>
    <s v="San Diego, CA 92123"/>
    <n v="92123"/>
    <s v="S"/>
    <n v="32.796157000000001"/>
    <n v="-117.15406"/>
    <s v="Roof_Flat"/>
    <n v="0.75"/>
    <m/>
    <s v=""/>
    <n v="0.75"/>
    <m/>
    <n v="0"/>
    <n v="32000"/>
    <s v="Roof_Flat"/>
    <s v="High"/>
    <n v="224000"/>
    <n v="0"/>
    <m/>
    <m/>
    <x v="64"/>
    <n v="1.19"/>
    <n v="7.92"/>
    <x v="21"/>
    <n v="50"/>
  </r>
  <r>
    <s v="SDJuve Prob Pkg Lot"/>
    <s v="2901 Meadow Lark Dr"/>
    <s v="San Diego, CA 92123"/>
    <n v="92123"/>
    <s v="S"/>
    <n v="32.796146999999998"/>
    <n v="-117.153094"/>
    <s v="Pkg_Lot"/>
    <n v="0.75"/>
    <m/>
    <s v=""/>
    <n v="0.75"/>
    <m/>
    <n v="0"/>
    <n v="150000"/>
    <s v="Pkg_Lot"/>
    <s v="High"/>
    <n v="1050000"/>
    <n v="0"/>
    <m/>
    <m/>
    <x v="64"/>
    <n v="1.19"/>
    <n v="7.92"/>
    <x v="21"/>
    <n v="200"/>
  </r>
  <r>
    <s v="Offices at Camino Del Rio &amp;amp; Mission City"/>
    <s v="3131 Camino Del Rio N"/>
    <s v="San Diego, CA 92108"/>
    <n v="92108"/>
    <s v="S"/>
    <n v="32.774723999999999"/>
    <n v="-117.127048"/>
    <s v="Biz"/>
    <n v="1.5"/>
    <m/>
    <s v="Total"/>
    <n v="1.25"/>
    <m/>
    <n v="5"/>
    <m/>
    <m/>
    <m/>
    <n v="0"/>
    <n v="1190000"/>
    <m/>
    <m/>
    <x v="19"/>
    <m/>
    <m/>
    <x v="7"/>
    <m/>
  </r>
  <r>
    <s v="Camino Del Rio &amp;amp; Mission City Pkg 1"/>
    <s v="3131 Camino Del Rio N"/>
    <s v="San Diego, CA 92108"/>
    <n v="92108"/>
    <s v="S"/>
    <n v="32.775511000000002"/>
    <n v="-117.125516"/>
    <s v="Pkg_Garage"/>
    <n v="0.75"/>
    <m/>
    <s v=""/>
    <n v="0.75"/>
    <m/>
    <n v="0"/>
    <n v="61000"/>
    <s v="Pkg_Garage"/>
    <s v="High"/>
    <n v="427000"/>
    <n v="0"/>
    <s v="irvinecompanyoffice.com"/>
    <m/>
    <x v="65"/>
    <n v="1.5"/>
    <n v="10"/>
    <x v="19"/>
    <n v="0"/>
  </r>
  <r>
    <s v="Camino Del Rio &amp;amp; Mission City Pkg 2"/>
    <s v="3131 Camino Del Rio N"/>
    <s v="San Diego, CA 92108"/>
    <n v="92108"/>
    <s v="S"/>
    <n v="32.774025999999999"/>
    <n v="-117.12789600000001"/>
    <s v="Pkg_Garage"/>
    <n v="0.75"/>
    <m/>
    <s v=""/>
    <n v="0.75"/>
    <m/>
    <n v="0"/>
    <n v="30000"/>
    <s v="Pkg_Garage"/>
    <s v="High"/>
    <n v="210000"/>
    <n v="0"/>
    <m/>
    <m/>
    <x v="65"/>
    <n v="1.5"/>
    <n v="10"/>
    <x v="19"/>
    <n v="0"/>
  </r>
  <r>
    <s v="Camino Del Rio &amp;amp; Mission City Pkg 3"/>
    <s v="3131 Camino Del Rio N"/>
    <s v="San Diego, CA 92108"/>
    <n v="92108"/>
    <s v="S"/>
    <n v="32.774441000000003"/>
    <n v="-117.128068"/>
    <s v="Pkg_Lot"/>
    <n v="0.75"/>
    <m/>
    <s v=""/>
    <n v="0.75"/>
    <m/>
    <n v="0"/>
    <n v="39000"/>
    <s v="Pkg_Lot"/>
    <s v="High"/>
    <n v="273000"/>
    <n v="0"/>
    <m/>
    <m/>
    <x v="65"/>
    <n v="1.5"/>
    <n v="10"/>
    <x v="19"/>
    <n v="0"/>
  </r>
  <r>
    <s v="Camino Del Rio &amp;amp; Mission City Pkg 4"/>
    <s v="3131 Camino Del Rio N"/>
    <s v="San Diego, CA 92108"/>
    <n v="92108"/>
    <s v="S"/>
    <n v="32.773698000000003"/>
    <n v="-117.128873"/>
    <s v="Pkg_Lot"/>
    <n v="0.75"/>
    <m/>
    <s v=""/>
    <n v="0.75"/>
    <m/>
    <n v="0"/>
    <n v="40000"/>
    <s v="Pkg_Lot"/>
    <s v="High"/>
    <n v="280000"/>
    <n v="0"/>
    <m/>
    <m/>
    <x v="65"/>
    <n v="1.5"/>
    <n v="10"/>
    <x v="19"/>
    <n v="100"/>
  </r>
  <r>
    <s v="Scottish Rite Masonic"/>
    <s v="1895 Camino del Rio S"/>
    <s v="San Diego, CA 92108"/>
    <n v="92108"/>
    <s v="S"/>
    <n v="32.766956999999998"/>
    <n v="-117.14463499999999"/>
    <s v="Pkg_Lot"/>
    <n v="1"/>
    <m/>
    <s v=""/>
    <n v="1"/>
    <m/>
    <n v="1"/>
    <n v="133000"/>
    <s v="Pkg_Lot"/>
    <s v="High"/>
    <n v="931000"/>
    <n v="931000"/>
    <m/>
    <m/>
    <x v="66"/>
    <n v="1.43"/>
    <n v="9.5399999999999991"/>
    <x v="19"/>
    <n v="100"/>
  </r>
  <r>
    <s v="Westfield Mission Valley"/>
    <s v="1555 Camino De La Reina"/>
    <s v="San Diego, CA 92108"/>
    <n v="92108"/>
    <s v="S"/>
    <n v="32.768546000000001"/>
    <n v="-117.14862599999999"/>
    <s v="Shopping"/>
    <n v="1.5"/>
    <m/>
    <s v="Total"/>
    <n v="1.25"/>
    <m/>
    <n v="13"/>
    <m/>
    <m/>
    <m/>
    <n v="0"/>
    <n v="8358000"/>
    <m/>
    <m/>
    <x v="38"/>
    <m/>
    <m/>
    <x v="22"/>
    <m/>
  </r>
  <r>
    <s v="WMV E of Mission Ctr Rd Pkg 1"/>
    <s v="1555 Camino De La Reina"/>
    <s v="San Diego, CA 92108"/>
    <n v="92108"/>
    <s v="S"/>
    <n v="32.769778000000002"/>
    <n v="-117.144262"/>
    <s v="Pkg_Lot"/>
    <n v="0.75"/>
    <m/>
    <s v=""/>
    <n v="0.75"/>
    <m/>
    <n v="0"/>
    <n v="49000"/>
    <s v="Pkg_Lot"/>
    <s v="High"/>
    <n v="343000"/>
    <n v="0"/>
    <m/>
    <m/>
    <x v="67"/>
    <n v="1.5"/>
    <n v="9.98"/>
    <x v="22"/>
    <n v="0"/>
  </r>
  <r>
    <s v="WMV E of Mission Ctr Rd Pkg 2"/>
    <s v="1555 Camino De La Reina"/>
    <s v="San Diego, CA 92108"/>
    <n v="92108"/>
    <s v="S"/>
    <n v="32.769584999999999"/>
    <n v="-117.14516999999999"/>
    <s v="Pkg_Lot"/>
    <n v="0.75"/>
    <m/>
    <s v=""/>
    <n v="0.75"/>
    <m/>
    <n v="0"/>
    <n v="225000"/>
    <s v="Pkg_Lot"/>
    <s v="High"/>
    <n v="1575000"/>
    <n v="0"/>
    <m/>
    <m/>
    <x v="67"/>
    <n v="1.5"/>
    <n v="9.98"/>
    <x v="22"/>
    <n v="0"/>
  </r>
  <r>
    <s v="WMV E of Mission Ctr Rd Pkg 3"/>
    <s v="1555 Camino De La Reina"/>
    <s v="San Diego, CA 92108"/>
    <n v="92108"/>
    <s v="S"/>
    <n v="32.768179000000003"/>
    <n v="-117.14609"/>
    <s v="Pkg_Lot"/>
    <n v="0.75"/>
    <m/>
    <s v=""/>
    <n v="0.75"/>
    <m/>
    <n v="0"/>
    <n v="53000"/>
    <s v="Pkg_Lot"/>
    <s v="High"/>
    <n v="371000"/>
    <n v="0"/>
    <m/>
    <m/>
    <x v="67"/>
    <n v="1.5"/>
    <n v="9.98"/>
    <x v="22"/>
    <n v="100"/>
  </r>
  <r>
    <s v="WMV E of Mission Ctr Rd Pkg 4"/>
    <s v="1555 Camino De La Reina"/>
    <s v="San Diego, CA 92108"/>
    <n v="92108"/>
    <s v="S"/>
    <n v="32.77028"/>
    <n v="-117.147115"/>
    <s v="Pkg_Lot"/>
    <n v="0.75"/>
    <m/>
    <s v=""/>
    <n v="0.75"/>
    <m/>
    <n v="0"/>
    <n v="202000"/>
    <s v="Pkg_Lot"/>
    <s v="High"/>
    <n v="1414000"/>
    <n v="0"/>
    <m/>
    <m/>
    <x v="67"/>
    <n v="1.5"/>
    <n v="9.98"/>
    <x v="22"/>
    <n v="0"/>
  </r>
  <r>
    <s v="WMV E of Mission Ctr Rd Pkg 5"/>
    <s v="1555 Camino De La Reina"/>
    <s v="San Diego, CA 92108"/>
    <n v="92108"/>
    <s v="S"/>
    <n v="32.769267999999997"/>
    <n v="-117.150505"/>
    <s v="Pkg_Lot"/>
    <n v="0.75"/>
    <m/>
    <s v=""/>
    <n v="0.75"/>
    <m/>
    <n v="0"/>
    <n v="75000"/>
    <s v="Pkg_Lot"/>
    <s v="High"/>
    <n v="525000"/>
    <n v="0"/>
    <m/>
    <m/>
    <x v="68"/>
    <n v="1.46"/>
    <n v="9.74"/>
    <x v="22"/>
    <n v="0"/>
  </r>
  <r>
    <s v="WMV E of Mission Ctr Rd Pkg 6"/>
    <s v="1555 Camino De La Reina"/>
    <s v="San Diego, CA 92108"/>
    <n v="92108"/>
    <s v="S"/>
    <n v="32.768478000000002"/>
    <n v="-117.151516"/>
    <s v="Pkg_Lot"/>
    <n v="0.75"/>
    <m/>
    <s v=""/>
    <n v="0.75"/>
    <m/>
    <n v="0"/>
    <n v="87000"/>
    <s v="Pkg_Lot"/>
    <s v="High"/>
    <n v="609000"/>
    <n v="0"/>
    <m/>
    <m/>
    <x v="68"/>
    <n v="1.46"/>
    <n v="9.74"/>
    <x v="22"/>
    <n v="0"/>
  </r>
  <r>
    <s v="WMV E of Mission Ctr Rd Pkg 7"/>
    <s v="1555 Camino De La Reina"/>
    <s v="San Diego, CA 92108"/>
    <n v="92108"/>
    <s v="S"/>
    <n v="32.767476000000002"/>
    <n v="-117.151549"/>
    <s v="Pkg_Lot"/>
    <n v="0.75"/>
    <m/>
    <s v=""/>
    <n v="0.75"/>
    <m/>
    <n v="0"/>
    <n v="127000"/>
    <s v="Pkg_Lot"/>
    <s v="High"/>
    <n v="889000"/>
    <n v="0"/>
    <m/>
    <m/>
    <x v="67"/>
    <n v="1.5"/>
    <n v="9.98"/>
    <x v="22"/>
    <n v="0"/>
  </r>
  <r>
    <s v="WMV E of Mission Ctr Rd Pkg 8"/>
    <s v="1555 Camino De La Reina"/>
    <s v="San Diego, CA 92108"/>
    <n v="92108"/>
    <s v="S"/>
    <n v="32.767150000000001"/>
    <n v="-117.150133"/>
    <s v="Pkg_Lot"/>
    <n v="0.75"/>
    <m/>
    <s v=""/>
    <n v="0.75"/>
    <m/>
    <n v="0"/>
    <n v="58000"/>
    <s v="Pkg_Lot"/>
    <s v="High"/>
    <n v="406000"/>
    <n v="0"/>
    <m/>
    <m/>
    <x v="67"/>
    <n v="1.5"/>
    <n v="9.98"/>
    <x v="22"/>
    <n v="0"/>
  </r>
  <r>
    <s v="WMV E of Mission Ctr Rd Pkg 9"/>
    <s v="1555 Camino De La Reina"/>
    <s v="San Diego, CA 92108"/>
    <n v="92108"/>
    <s v="S"/>
    <n v="32.767440999999998"/>
    <n v="-117.152742"/>
    <s v="Pkg_Lot"/>
    <n v="0.75"/>
    <m/>
    <s v=""/>
    <n v="0.75"/>
    <m/>
    <n v="0"/>
    <n v="86000"/>
    <s v="Pkg_Lot"/>
    <s v="High"/>
    <n v="602000"/>
    <n v="0"/>
    <m/>
    <m/>
    <x v="67"/>
    <n v="1.5"/>
    <n v="9.98"/>
    <x v="22"/>
    <n v="0"/>
  </r>
  <r>
    <s v="WMV W of Mission Ctr Rd Pkg 10"/>
    <s v="1555 Camino De La Reina"/>
    <s v="San Diego, CA 92108"/>
    <n v="92108"/>
    <s v="S"/>
    <n v="32.767252999999997"/>
    <n v="-117.155022"/>
    <s v="Pkg_Lot"/>
    <n v="0.75"/>
    <m/>
    <s v=""/>
    <n v="0.75"/>
    <m/>
    <n v="0"/>
    <n v="42000"/>
    <s v="Pkg_Lot"/>
    <s v="High"/>
    <n v="294000"/>
    <n v="0"/>
    <m/>
    <m/>
    <x v="69"/>
    <n v="1.39"/>
    <n v="9.25"/>
    <x v="22"/>
    <n v="100"/>
  </r>
  <r>
    <s v="WMV W of Mission Ctr Rd Pkg 11"/>
    <s v="1555 Camino De La Reina"/>
    <s v="San Diego, CA 92108"/>
    <n v="92108"/>
    <s v="S"/>
    <n v="32.767004"/>
    <n v="-117.15618600000001"/>
    <s v="Pkg_Lot"/>
    <n v="0.75"/>
    <m/>
    <s v=""/>
    <n v="0.75"/>
    <m/>
    <n v="0"/>
    <n v="52000"/>
    <s v="Pkg_Lot"/>
    <s v="High"/>
    <n v="364000"/>
    <n v="0"/>
    <m/>
    <m/>
    <x v="69"/>
    <n v="1.39"/>
    <n v="9.25"/>
    <x v="22"/>
    <n v="100"/>
  </r>
  <r>
    <s v="WMV W of Mission Ctr Rd Pkg 12"/>
    <s v="1555 Camino De La Reina"/>
    <s v="San Diego, CA 92108"/>
    <n v="92108"/>
    <s v="S"/>
    <n v="32.766643000000002"/>
    <n v="-117.155405"/>
    <s v="Pkg_Lot"/>
    <n v="0.75"/>
    <m/>
    <s v=""/>
    <n v="0.75"/>
    <m/>
    <n v="0"/>
    <n v="138000"/>
    <s v="Pkg_Lot"/>
    <s v="High"/>
    <n v="966000"/>
    <n v="0"/>
    <m/>
    <m/>
    <x v="69"/>
    <n v="1.39"/>
    <n v="9.25"/>
    <x v="22"/>
    <n v="200"/>
  </r>
  <r>
    <s v="Courtesy Chevrolet"/>
    <s v="750 Camino Del Rio N"/>
    <s v="San Diego, CA 92108"/>
    <n v="92108"/>
    <s v="S"/>
    <n v="32.765881"/>
    <n v="-117.15731700000001"/>
    <s v="Shopping"/>
    <n v="1.5"/>
    <m/>
    <s v="Total"/>
    <n v="1.25"/>
    <m/>
    <n v="5"/>
    <m/>
    <m/>
    <m/>
    <n v="0"/>
    <n v="763000"/>
    <m/>
    <m/>
    <x v="69"/>
    <n v="1.39"/>
    <n v="9.25"/>
    <x v="22"/>
    <m/>
  </r>
  <r>
    <s v="Courtesy Chevrolet Bldg 1"/>
    <s v="750 Camino Del Rio N"/>
    <s v="San Diego, CA 92108"/>
    <n v="92108"/>
    <s v="S"/>
    <n v="32.765534000000002"/>
    <n v="-117.157225"/>
    <s v="Roof_Flat"/>
    <n v="0.75"/>
    <m/>
    <s v=""/>
    <n v="0.75"/>
    <m/>
    <n v="0"/>
    <n v="18000"/>
    <s v="Roof_Flat"/>
    <s v="High"/>
    <n v="126000"/>
    <n v="0"/>
    <m/>
    <m/>
    <x v="69"/>
    <n v="1.39"/>
    <n v="9.25"/>
    <x v="22"/>
    <n v="50"/>
  </r>
  <r>
    <s v="Courtesy Chevrolet Bldg 2"/>
    <s v="750 Camino Del Rio N"/>
    <s v="San Diego, CA 92108"/>
    <n v="92108"/>
    <s v="S"/>
    <n v="32.766185"/>
    <n v="-117.157426"/>
    <s v="Roof_Flat"/>
    <n v="0.75"/>
    <m/>
    <s v=""/>
    <n v="0.75"/>
    <m/>
    <n v="0"/>
    <n v="8000"/>
    <s v="Roof_Flat"/>
    <s v="High"/>
    <n v="56000"/>
    <n v="0"/>
    <m/>
    <m/>
    <x v="69"/>
    <n v="1.39"/>
    <n v="9.25"/>
    <x v="22"/>
    <n v="50"/>
  </r>
  <r>
    <s v="Courtesy Chevrolet Bldg 3"/>
    <s v="750 Camino Del Rio N"/>
    <s v="San Diego, CA 92108"/>
    <n v="92108"/>
    <s v="S"/>
    <n v="32.766854000000002"/>
    <n v="-117.15772699999999"/>
    <s v="Roof_Flat"/>
    <n v="0.75"/>
    <m/>
    <s v=""/>
    <n v="0.75"/>
    <m/>
    <n v="0"/>
    <n v="6000"/>
    <s v="Roof_Flat"/>
    <s v="High"/>
    <n v="42000"/>
    <n v="0"/>
    <m/>
    <m/>
    <x v="69"/>
    <n v="1.39"/>
    <n v="9.25"/>
    <x v="22"/>
    <n v="50"/>
  </r>
  <r>
    <s v="Courtesy Chevrolet Pkg Lot"/>
    <s v="750 Camino Del Rio N"/>
    <s v="San Diego, CA 92108"/>
    <n v="92108"/>
    <s v="S"/>
    <n v="32.766705000000002"/>
    <n v="-117.157629"/>
    <s v="Pkg_Lot"/>
    <n v="0.75"/>
    <m/>
    <s v=""/>
    <n v="0.75"/>
    <m/>
    <n v="0"/>
    <n v="77000"/>
    <s v="Pkg_Lot"/>
    <s v="High"/>
    <n v="539000"/>
    <n v="0"/>
    <m/>
    <m/>
    <x v="69"/>
    <n v="1.39"/>
    <n v="9.25"/>
    <x v="22"/>
    <n v="150"/>
  </r>
  <r>
    <s v="Park Valley Center"/>
    <s v="1620 Camino De La Reina"/>
    <s v="San Diego, CA 92108"/>
    <n v="92108"/>
    <s v="S"/>
    <n v="32.770749000000002"/>
    <n v="-117.15027000000001"/>
    <s v="Shopping"/>
    <n v="1.5"/>
    <m/>
    <s v="Total"/>
    <n v="1.25"/>
    <m/>
    <n v="7"/>
    <m/>
    <m/>
    <m/>
    <n v="0"/>
    <n v="2268000"/>
    <m/>
    <m/>
    <x v="38"/>
    <m/>
    <m/>
    <x v="22"/>
    <m/>
  </r>
  <r>
    <s v="PVC Pkg 1"/>
    <s v="1620 Camino De La Reina"/>
    <s v="San Diego, CA 92108"/>
    <n v="92108"/>
    <s v="S"/>
    <n v="32.771289000000003"/>
    <n v="-117.14543999999999"/>
    <s v="Pkg_Lot"/>
    <n v="0.75"/>
    <m/>
    <s v=""/>
    <n v="0.75"/>
    <m/>
    <n v="0"/>
    <n v="75000"/>
    <s v="Pkg_Lot"/>
    <s v="High"/>
    <n v="525000"/>
    <n v="0"/>
    <m/>
    <m/>
    <x v="67"/>
    <n v="1.5"/>
    <n v="9.98"/>
    <x v="22"/>
    <n v="0"/>
  </r>
  <r>
    <s v="PVC Pkg 2"/>
    <s v="1620 Camino De La Reina"/>
    <s v="San Diego, CA 92108"/>
    <n v="92108"/>
    <s v="S"/>
    <n v="32.770890999999999"/>
    <n v="-117.14815299999999"/>
    <s v="Pkg_Lot"/>
    <n v="0.75"/>
    <m/>
    <s v=""/>
    <n v="0.75"/>
    <m/>
    <n v="0"/>
    <n v="27000"/>
    <s v="Pkg_Lot"/>
    <s v="High"/>
    <n v="189000"/>
    <n v="0"/>
    <m/>
    <m/>
    <x v="67"/>
    <n v="1.5"/>
    <n v="9.98"/>
    <x v="22"/>
    <n v="0"/>
  </r>
  <r>
    <s v="PVC Pkg 3"/>
    <s v="1620 Camino De La Reina"/>
    <s v="San Diego, CA 92108"/>
    <n v="92108"/>
    <s v="S"/>
    <n v="32.770498000000003"/>
    <n v="-117.14918299999999"/>
    <s v="Pkg_Lot"/>
    <n v="0.75"/>
    <m/>
    <s v=""/>
    <n v="0.75"/>
    <m/>
    <n v="0"/>
    <n v="65000"/>
    <s v="Pkg_Lot"/>
    <s v="High"/>
    <n v="455000"/>
    <n v="0"/>
    <m/>
    <m/>
    <x v="68"/>
    <n v="1.46"/>
    <n v="9.74"/>
    <x v="22"/>
    <n v="0"/>
  </r>
  <r>
    <s v="PVC Pkg 4"/>
    <s v="1620 Camino De La Reina"/>
    <s v="San Diego, CA 92108"/>
    <n v="92108"/>
    <s v="S"/>
    <n v="32.769998000000001"/>
    <n v="-117.15105200000001"/>
    <s v="Pkg_Lot"/>
    <n v="0.75"/>
    <m/>
    <s v=""/>
    <n v="0.75"/>
    <m/>
    <n v="0"/>
    <n v="81000"/>
    <s v="Pkg_Lot"/>
    <s v="High"/>
    <n v="567000"/>
    <n v="0"/>
    <m/>
    <m/>
    <x v="68"/>
    <n v="1.46"/>
    <n v="9.74"/>
    <x v="22"/>
    <n v="0"/>
  </r>
  <r>
    <s v="PVC Pkg 5"/>
    <s v="1620 Camino De La Reina"/>
    <s v="San Diego, CA 92108"/>
    <n v="92108"/>
    <s v="S"/>
    <n v="32.769291000000003"/>
    <n v="-117.153507"/>
    <s v="Pkg_Lot"/>
    <n v="0.75"/>
    <m/>
    <s v=""/>
    <n v="0.75"/>
    <m/>
    <n v="0"/>
    <n v="58000"/>
    <s v="Pkg_Lot"/>
    <s v="High"/>
    <n v="406000"/>
    <n v="0"/>
    <m/>
    <m/>
    <x v="69"/>
    <n v="1.39"/>
    <n v="9.25"/>
    <x v="22"/>
    <n v="0"/>
  </r>
  <r>
    <s v="PVC Pkg 6"/>
    <s v="1620 Camino De La Reina"/>
    <s v="San Diego, CA 92108"/>
    <n v="92108"/>
    <s v="S"/>
    <n v="32.768847000000001"/>
    <n v="-117.152992"/>
    <s v="Pkg_Lot"/>
    <n v="0.75"/>
    <m/>
    <s v=""/>
    <n v="0.75"/>
    <m/>
    <n v="0"/>
    <n v="18000"/>
    <s v="Pkg_Lot"/>
    <s v="High"/>
    <n v="126000"/>
    <n v="0"/>
    <m/>
    <m/>
    <x v="68"/>
    <n v="1.46"/>
    <n v="9.74"/>
    <x v="22"/>
    <n v="0"/>
  </r>
  <r>
    <s v="Fenton Marketplace"/>
    <s v="2345 Fenton Pkwy"/>
    <s v="San Diego, CA 92108"/>
    <n v="92108"/>
    <s v="S"/>
    <n v="32.781466999999999"/>
    <n v="-117.12789100000001"/>
    <s v="Shopping"/>
    <n v="1.5"/>
    <m/>
    <s v="Total"/>
    <n v="1.25"/>
    <m/>
    <n v="7"/>
    <m/>
    <m/>
    <m/>
    <n v="0"/>
    <n v="6202000"/>
    <m/>
    <m/>
    <x v="38"/>
    <m/>
    <m/>
    <x v="19"/>
    <m/>
  </r>
  <r>
    <s v="Costco"/>
    <s v="2345 Fenton Pkwy"/>
    <s v="San Diego, CA 92108"/>
    <n v="92108"/>
    <s v="S"/>
    <n v="32.782488000000001"/>
    <n v="-117.128518"/>
    <s v="Target"/>
    <n v="0.75"/>
    <s v="Red"/>
    <s v=""/>
    <n v="0.75"/>
    <m/>
    <n v="0"/>
    <m/>
    <s v="Existing"/>
    <m/>
    <n v="0"/>
    <n v="0"/>
    <m/>
    <m/>
    <x v="19"/>
    <m/>
    <m/>
    <x v="7"/>
    <m/>
  </r>
  <r>
    <s v="Fenton Mktplc Pkg 1"/>
    <s v="2345 Fenton Pkwy"/>
    <s v="San Diego, CA 92108"/>
    <n v="92108"/>
    <s v="S"/>
    <n v="32.781286999999999"/>
    <n v="-117.12955599999999"/>
    <s v="Pkg_Lot"/>
    <n v="0.75"/>
    <m/>
    <s v=""/>
    <n v="0.75"/>
    <m/>
    <n v="0"/>
    <n v="258000"/>
    <s v="Pkg_Lot"/>
    <s v="High"/>
    <n v="1806000"/>
    <n v="0"/>
    <m/>
    <m/>
    <x v="70"/>
    <n v="1.37"/>
    <n v="9.1300000000000008"/>
    <x v="19"/>
    <n v="100"/>
  </r>
  <r>
    <s v="Fenton Mktplc Pkg 2"/>
    <s v="2345 Fenton Pkwy"/>
    <s v="San Diego, CA 92108"/>
    <n v="92108"/>
    <s v="S"/>
    <n v="32.780583999999998"/>
    <n v="-117.12812099999999"/>
    <s v="Pkg_Lot"/>
    <n v="0.75"/>
    <m/>
    <s v=""/>
    <n v="0.75"/>
    <m/>
    <n v="0"/>
    <n v="302000"/>
    <s v="Pkg_Lot"/>
    <s v="High"/>
    <n v="2114000"/>
    <n v="0"/>
    <m/>
    <m/>
    <x v="70"/>
    <n v="1.37"/>
    <n v="9.1300000000000008"/>
    <x v="19"/>
    <n v="300"/>
  </r>
  <r>
    <s v="Fenton Mktplc Pkg 3"/>
    <s v="2345 Fenton Pkwy"/>
    <s v="San Diego, CA 92108"/>
    <n v="92108"/>
    <s v="S"/>
    <n v="32.779632999999997"/>
    <n v="-117.127506"/>
    <s v="Pkg_Lot"/>
    <n v="0.75"/>
    <m/>
    <s v=""/>
    <n v="0.75"/>
    <m/>
    <n v="0"/>
    <n v="35000"/>
    <s v="Pkg_Lot"/>
    <s v="High"/>
    <n v="245000"/>
    <n v="0"/>
    <m/>
    <m/>
    <x v="71"/>
    <n v="1.45"/>
    <n v="9.66"/>
    <x v="19"/>
    <n v="0"/>
  </r>
  <r>
    <s v="Fenton Mktplc Pkg 4"/>
    <s v="2345 Fenton Pkwy"/>
    <s v="San Diego, CA 92108"/>
    <n v="92108"/>
    <s v="S"/>
    <n v="32.781748999999998"/>
    <n v="-117.126865"/>
    <s v="Pkg_Lot"/>
    <n v="0.75"/>
    <m/>
    <s v=""/>
    <n v="0.75"/>
    <m/>
    <n v="0"/>
    <n v="165000"/>
    <s v="Pkg_Lot"/>
    <s v="High"/>
    <n v="1155000"/>
    <n v="0"/>
    <m/>
    <m/>
    <x v="70"/>
    <n v="1.37"/>
    <n v="9.1300000000000008"/>
    <x v="19"/>
    <n v="100"/>
  </r>
  <r>
    <s v="Lowes"/>
    <s v="2345 Fenton Pkwy"/>
    <s v="San Diego, CA 92108"/>
    <n v="92108"/>
    <s v="S"/>
    <n v="32.781559999999999"/>
    <n v="-117.12551999999999"/>
    <s v="Roof_Flat"/>
    <n v="0.75"/>
    <m/>
    <s v=""/>
    <n v="0.75"/>
    <m/>
    <n v="0"/>
    <n v="126000"/>
    <s v="Roof_Flat"/>
    <s v="High"/>
    <n v="882000"/>
    <n v="0"/>
    <m/>
    <m/>
    <x v="71"/>
    <n v="1.45"/>
    <n v="9.66"/>
    <x v="19"/>
    <n v="0"/>
  </r>
  <r>
    <s v="Mission City Corporation Center"/>
    <s v="2365 Northside Dr"/>
    <s v="San Diego, CA 92108"/>
    <n v="92108"/>
    <s v="S"/>
    <n v="32.783532999999998"/>
    <n v="-117.12573500000001"/>
    <s v="Biz"/>
    <n v="1.5"/>
    <m/>
    <s v="Total"/>
    <n v="1.25"/>
    <m/>
    <n v="5"/>
    <m/>
    <m/>
    <m/>
    <n v="0"/>
    <n v="1123500"/>
    <m/>
    <m/>
    <x v="70"/>
    <n v="1.37"/>
    <n v="9.1300000000000008"/>
    <x v="19"/>
    <m/>
  </r>
  <r>
    <s v="Mission City Corp Ctr Pkg 1"/>
    <s v="2365 Northside Dr"/>
    <s v="San Diego, CA 92108"/>
    <n v="92108"/>
    <s v="S"/>
    <n v="32.783935"/>
    <n v="-117.126188"/>
    <s v="Pkg_Garage"/>
    <n v="0.75"/>
    <m/>
    <s v=""/>
    <n v="0.75"/>
    <m/>
    <n v="0"/>
    <n v="71000"/>
    <s v="Pkg_Garage"/>
    <s v="High"/>
    <n v="497000"/>
    <n v="0"/>
    <m/>
    <m/>
    <x v="70"/>
    <n v="1.37"/>
    <n v="9.1300000000000008"/>
    <x v="19"/>
    <n v="200"/>
  </r>
  <r>
    <s v="Mission City Corp Ctr Pkg 2"/>
    <s v="2365 Northside Dr"/>
    <s v="San Diego, CA 92108"/>
    <n v="92108"/>
    <s v="S"/>
    <n v="32.782964999999997"/>
    <n v="-117.125382"/>
    <s v="Pkg_Garage"/>
    <n v="0.75"/>
    <m/>
    <s v=""/>
    <n v="0.75"/>
    <m/>
    <n v="0"/>
    <n v="63000"/>
    <s v="Pkg_Garage"/>
    <s v="High"/>
    <n v="441000"/>
    <n v="0"/>
    <m/>
    <m/>
    <x v="70"/>
    <n v="1.37"/>
    <n v="9.1300000000000008"/>
    <x v="19"/>
    <n v="300"/>
  </r>
  <r>
    <s v="Water Quality Control Board"/>
    <s v="2365 Northside Dr"/>
    <s v="San Diego, CA 92108"/>
    <n v="92108"/>
    <s v="S"/>
    <n v="32.783973000000003"/>
    <n v="-117.127242"/>
    <s v="Roof_Flat"/>
    <n v="0.75"/>
    <m/>
    <s v=""/>
    <n v="0.75"/>
    <m/>
    <n v="0"/>
    <n v="12800"/>
    <s v="Roof_Flat"/>
    <s v="High"/>
    <n v="89600"/>
    <n v="0"/>
    <m/>
    <m/>
    <x v="70"/>
    <n v="1.37"/>
    <n v="9.1300000000000008"/>
    <x v="19"/>
    <n v="0"/>
  </r>
  <r>
    <s v="Eastridge Workforce Solutions"/>
    <s v="2365 Northside Dr"/>
    <s v="San Diego, CA 92108"/>
    <n v="92108"/>
    <s v="S"/>
    <n v="32.782806999999998"/>
    <n v="-117.126099"/>
    <s v="Roof_Flat"/>
    <n v="0.75"/>
    <m/>
    <s v=""/>
    <n v="0.75"/>
    <m/>
    <n v="0"/>
    <n v="13700"/>
    <s v="Roof_Flat"/>
    <s v="High"/>
    <n v="95900"/>
    <n v="0"/>
    <m/>
    <m/>
    <x v="70"/>
    <n v="1.37"/>
    <n v="9.1300000000000008"/>
    <x v="19"/>
    <n v="50"/>
  </r>
  <r>
    <s v="SDCCU Stadium"/>
    <s v="9449 Friars Rd"/>
    <s v="San Diego, CA 92108"/>
    <n v="92108"/>
    <s v="S"/>
    <n v="32.783009999999997"/>
    <n v="-117.11956600000001"/>
    <s v="Venue"/>
    <n v="1.5"/>
    <s v="Yellow"/>
    <s v="Total"/>
    <n v="1.25"/>
    <m/>
    <n v="13"/>
    <m/>
    <m/>
    <m/>
    <n v="0"/>
    <n v="30450000"/>
    <m/>
    <m/>
    <x v="19"/>
    <m/>
    <m/>
    <x v="7"/>
    <m/>
  </r>
  <r>
    <s v="SDCCU Pkg 1"/>
    <s v="9449 Friars Rd"/>
    <s v="San Diego, CA 92108"/>
    <n v="92108"/>
    <s v="S"/>
    <n v="32.784841999999998"/>
    <n v="-117.118651"/>
    <s v="Pkg_Lot"/>
    <n v="0.75"/>
    <m/>
    <s v=""/>
    <n v="0.75"/>
    <m/>
    <n v="0"/>
    <n v="146000"/>
    <s v="Pkg_Lot"/>
    <s v="High"/>
    <n v="1022000"/>
    <n v="0"/>
    <m/>
    <m/>
    <x v="72"/>
    <n v="1.5"/>
    <n v="10"/>
    <x v="19"/>
    <n v="0"/>
  </r>
  <r>
    <s v="SDCCU Pkg 2"/>
    <s v="9449 Friars Rd"/>
    <s v="San Diego, CA 92108"/>
    <n v="92108"/>
    <s v="S"/>
    <n v="32.783973000000003"/>
    <n v="-117.117518"/>
    <s v="Pkg_Lot"/>
    <n v="0.75"/>
    <m/>
    <s v=""/>
    <n v="0.75"/>
    <m/>
    <n v="0"/>
    <n v="97000"/>
    <s v="Pkg_Lot"/>
    <s v="High"/>
    <n v="679000"/>
    <n v="0"/>
    <m/>
    <m/>
    <x v="72"/>
    <n v="1.5"/>
    <n v="10"/>
    <x v="19"/>
    <n v="0"/>
  </r>
  <r>
    <s v="SDCCU Pkg 3"/>
    <s v="9449 Friars Rd"/>
    <s v="San Diego, CA 92108"/>
    <n v="92108"/>
    <s v="S"/>
    <n v="32.782392000000002"/>
    <n v="-117.117654"/>
    <s v="Pkg_Lot"/>
    <n v="0.75"/>
    <m/>
    <s v=""/>
    <n v="0.75"/>
    <m/>
    <n v="0"/>
    <n v="98000"/>
    <s v="Pkg_Lot"/>
    <s v="High"/>
    <n v="686000"/>
    <n v="0"/>
    <m/>
    <m/>
    <x v="72"/>
    <n v="1.5"/>
    <n v="10"/>
    <x v="19"/>
    <n v="0"/>
  </r>
  <r>
    <s v="SDCCU Pkg 4"/>
    <s v="9449 Friars Rd"/>
    <s v="San Diego, CA 92108"/>
    <n v="92108"/>
    <s v="S"/>
    <n v="32.781365999999998"/>
    <n v="-117.11863099999999"/>
    <s v="Pkg_Lot"/>
    <n v="0.75"/>
    <m/>
    <s v=""/>
    <n v="0.75"/>
    <m/>
    <n v="0"/>
    <n v="60000"/>
    <s v="Pkg_Lot"/>
    <s v="High"/>
    <n v="420000"/>
    <n v="0"/>
    <m/>
    <m/>
    <x v="73"/>
    <n v="1.5"/>
    <n v="10"/>
    <x v="19"/>
    <n v="0"/>
  </r>
  <r>
    <s v="SDCCU Pkg 5"/>
    <s v="9449 Friars Rd"/>
    <s v="San Diego, CA 92108"/>
    <n v="92108"/>
    <s v="S"/>
    <n v="32.781385"/>
    <n v="-117.120569"/>
    <s v="Pkg_Lot"/>
    <n v="0.75"/>
    <m/>
    <s v=""/>
    <n v="0.75"/>
    <m/>
    <n v="0"/>
    <n v="134000"/>
    <s v="Pkg_Lot"/>
    <s v="High"/>
    <n v="938000"/>
    <n v="0"/>
    <m/>
    <m/>
    <x v="73"/>
    <n v="1.5"/>
    <n v="10"/>
    <x v="19"/>
    <n v="150"/>
  </r>
  <r>
    <s v="SDCCU Pkg 6"/>
    <s v="9449 Friars Rd"/>
    <s v="San Diego, CA 92108"/>
    <n v="92108"/>
    <s v="S"/>
    <n v="32.782359"/>
    <n v="-117.12169799999999"/>
    <s v="Pkg_Lot"/>
    <n v="0.75"/>
    <m/>
    <s v=""/>
    <n v="0.75"/>
    <m/>
    <n v="0"/>
    <n v="148000"/>
    <s v="Pkg_Lot"/>
    <s v="High"/>
    <n v="1036000"/>
    <n v="0"/>
    <m/>
    <m/>
    <x v="74"/>
    <n v="1.41"/>
    <n v="9.41"/>
    <x v="23"/>
    <n v="0"/>
  </r>
  <r>
    <s v="SDCCU Pkg 7"/>
    <s v="9449 Friars Rd"/>
    <s v="San Diego, CA 92108"/>
    <n v="92108"/>
    <s v="S"/>
    <n v="32.783847000000002"/>
    <n v="-117.121785"/>
    <s v="Pkg_Lot"/>
    <n v="0.75"/>
    <m/>
    <s v=""/>
    <n v="0.75"/>
    <m/>
    <n v="0"/>
    <n v="112000"/>
    <s v="Pkg_Lot"/>
    <s v="High"/>
    <n v="784000"/>
    <n v="0"/>
    <m/>
    <m/>
    <x v="72"/>
    <n v="1.5"/>
    <n v="10"/>
    <x v="19"/>
    <n v="0"/>
  </r>
  <r>
    <s v="SDCCU Pkg 8"/>
    <s v="9449 Friars Rd"/>
    <s v="San Diego, CA 92108"/>
    <n v="92108"/>
    <s v="S"/>
    <n v="32.784920999999997"/>
    <n v="-117.120467"/>
    <s v="Pkg_Lot"/>
    <n v="0.75"/>
    <m/>
    <s v=""/>
    <n v="0.75"/>
    <m/>
    <n v="0"/>
    <n v="143000"/>
    <s v="Pkg_Lot"/>
    <s v="High"/>
    <n v="1001000"/>
    <n v="0"/>
    <m/>
    <m/>
    <x v="72"/>
    <n v="1.5"/>
    <n v="10"/>
    <x v="19"/>
    <n v="0"/>
  </r>
  <r>
    <s v="SDCCU Pkg 9"/>
    <s v="9449 Friars Rd"/>
    <s v="San Diego, CA 92108"/>
    <n v="92108"/>
    <s v="S"/>
    <n v="32.785606999999999"/>
    <n v="-117.11695"/>
    <s v="Pkg_Lot"/>
    <n v="0.75"/>
    <m/>
    <s v=""/>
    <n v="0.75"/>
    <m/>
    <n v="0"/>
    <n v="790000"/>
    <s v="Pkg_Lot"/>
    <s v="High"/>
    <n v="5530000"/>
    <n v="0"/>
    <m/>
    <m/>
    <x v="72"/>
    <n v="1.5"/>
    <n v="10"/>
    <x v="19"/>
    <n v="0"/>
  </r>
  <r>
    <s v="SDCCU Pkg 10"/>
    <s v="9449 Friars Rd"/>
    <s v="San Diego, CA 92108"/>
    <n v="92108"/>
    <s v="S"/>
    <n v="32.782606000000001"/>
    <n v="-117.11573799999999"/>
    <s v="Pkg_Lot"/>
    <n v="0.75"/>
    <m/>
    <s v=""/>
    <n v="0.75"/>
    <m/>
    <n v="0"/>
    <n v="793000"/>
    <s v="Pkg_Lot"/>
    <s v="High"/>
    <n v="5551000"/>
    <n v="0"/>
    <m/>
    <m/>
    <x v="73"/>
    <n v="1.5"/>
    <n v="10"/>
    <x v="19"/>
    <n v="0"/>
  </r>
  <r>
    <s v="SDCCU Pkg 11"/>
    <s v="9449 Friars Rd"/>
    <s v="San Diego, CA 92108"/>
    <n v="92108"/>
    <s v="S"/>
    <n v="32.781025999999997"/>
    <n v="-117.12307699999999"/>
    <s v="Pkg_Lot"/>
    <n v="0.75"/>
    <m/>
    <s v=""/>
    <n v="0.75"/>
    <m/>
    <n v="0"/>
    <n v="1050000"/>
    <s v="Pkg_Lot"/>
    <s v="High"/>
    <n v="7350000"/>
    <n v="0"/>
    <m/>
    <m/>
    <x v="74"/>
    <n v="1.41"/>
    <n v="9.41"/>
    <x v="23"/>
    <n v="0"/>
  </r>
  <r>
    <s v="SDCCU Pkg 12"/>
    <s v="9449 Friars Rd"/>
    <s v="San Diego, CA 92108"/>
    <n v="92108"/>
    <s v="S"/>
    <n v="32.784801000000002"/>
    <n v="-117.123164"/>
    <s v="Pkg_Lot"/>
    <n v="0.75"/>
    <m/>
    <s v=""/>
    <n v="0.75"/>
    <m/>
    <n v="0"/>
    <n v="779000"/>
    <s v="Pkg_Lot"/>
    <s v="High"/>
    <n v="5453000"/>
    <n v="0"/>
    <m/>
    <m/>
    <x v="72"/>
    <n v="1.5"/>
    <n v="10"/>
    <x v="19"/>
    <n v="0"/>
  </r>
  <r>
    <s v="Home Depot Shopping Ctr"/>
    <s v="5920 Fairmount Ave"/>
    <s v="San Diego, CA 92120"/>
    <n v="92120"/>
    <s v="S"/>
    <n v="32.782536"/>
    <n v="-117.103013"/>
    <s v="Shopping"/>
    <n v="1.5"/>
    <m/>
    <s v="Total"/>
    <n v="1.25"/>
    <m/>
    <n v="4"/>
    <m/>
    <m/>
    <m/>
    <n v="0"/>
    <n v="1689000"/>
    <m/>
    <m/>
    <x v="75"/>
    <n v="1.42"/>
    <n v="9.44"/>
    <x v="19"/>
    <m/>
  </r>
  <r>
    <s v="Home Depot bldg"/>
    <s v="5920 Fairmount Ave"/>
    <s v="San Diego, CA 92120"/>
    <n v="92120"/>
    <s v="S"/>
    <n v="32.782013999999997"/>
    <n v="-117.102397"/>
    <s v="Roof_Flat"/>
    <n v="0.75"/>
    <m/>
    <s v=""/>
    <n v="0.75"/>
    <m/>
    <n v="0"/>
    <n v="104000"/>
    <s v="Roof_Flat"/>
    <s v="Medium"/>
    <n v="624000"/>
    <n v="0"/>
    <m/>
    <m/>
    <x v="75"/>
    <n v="1.42"/>
    <n v="9.44"/>
    <x v="19"/>
    <n v="100"/>
  </r>
  <r>
    <s v="Home Depot pkg"/>
    <s v="5920 Fairmount Ave"/>
    <s v="San Diego, CA 92120"/>
    <n v="92120"/>
    <s v="S"/>
    <n v="32.782916"/>
    <n v="-117.102422"/>
    <s v="Pkg_Lot"/>
    <n v="0.75"/>
    <m/>
    <s v=""/>
    <n v="0.75"/>
    <m/>
    <n v="0"/>
    <n v="135000"/>
    <s v="Pkg_Lot"/>
    <s v="High"/>
    <n v="945000"/>
    <n v="0"/>
    <m/>
    <m/>
    <x v="75"/>
    <n v="1.42"/>
    <n v="9.44"/>
    <x v="19"/>
    <n v="100"/>
  </r>
  <r>
    <s v="Carpet Tile &amp;amp; Flooring"/>
    <s v="5920 Fairmount Ave"/>
    <s v="San Diego, CA 92120"/>
    <n v="92120"/>
    <s v="S"/>
    <n v="32.783627000000003"/>
    <n v="-117.102321"/>
    <s v="Roof_Flat"/>
    <n v="0.75"/>
    <m/>
    <s v=""/>
    <n v="0.75"/>
    <m/>
    <n v="0"/>
    <n v="20000"/>
    <s v="Roof_Flat"/>
    <s v="Medium"/>
    <n v="120000"/>
    <n v="0"/>
    <s v="5980 Fairmount Ave"/>
    <m/>
    <x v="75"/>
    <n v="1.42"/>
    <n v="9.44"/>
    <x v="19"/>
    <n v="200"/>
  </r>
  <r>
    <s v="San Diego State University"/>
    <s v="5500 Campanile Dr"/>
    <s v="San Diego, CA 92182"/>
    <n v="92182"/>
    <s v="S"/>
    <n v="32.775188"/>
    <n v="-117.07134600000001"/>
    <s v="Edu"/>
    <n v="1.5"/>
    <m/>
    <s v="Total"/>
    <n v="1.25"/>
    <m/>
    <n v="27"/>
    <m/>
    <m/>
    <m/>
    <n v="0"/>
    <n v="8522500"/>
    <m/>
    <m/>
    <x v="38"/>
    <m/>
    <m/>
    <x v="13"/>
    <m/>
  </r>
  <r>
    <s v="X Lot pkg N"/>
    <s v="5500 Campanile Dr"/>
    <s v="San Diego, CA 92182"/>
    <n v="92182"/>
    <s v="S"/>
    <n v="32.778647999999997"/>
    <n v="-117.07543"/>
    <s v="Pkg_Lot"/>
    <n v="0.75"/>
    <m/>
    <s v=""/>
    <n v="0.75"/>
    <m/>
    <n v="0"/>
    <n v="70000"/>
    <s v="Pkg_Lot"/>
    <s v="High"/>
    <n v="490000"/>
    <n v="0"/>
    <s v="GMap Zip 92115"/>
    <m/>
    <x v="76"/>
    <n v="0.57999999999999996"/>
    <n v="3.88"/>
    <x v="24"/>
    <n v="0"/>
  </r>
  <r>
    <s v="X Lot pkg S"/>
    <s v="5500 Campanile Dr"/>
    <s v="San Diego, CA 92182"/>
    <n v="92182"/>
    <s v="S"/>
    <n v="32.778044000000001"/>
    <n v="-117.07572399999999"/>
    <s v="Pkg_Lot"/>
    <n v="0.75"/>
    <m/>
    <s v=""/>
    <n v="0.75"/>
    <m/>
    <n v="0"/>
    <n v="28000"/>
    <s v="Pkg_Lot"/>
    <s v="High"/>
    <n v="196000"/>
    <n v="0"/>
    <s v="GMap Zip 92115"/>
    <m/>
    <x v="76"/>
    <n v="0.57999999999999996"/>
    <n v="3.88"/>
    <x v="24"/>
    <n v="200"/>
  </r>
  <r>
    <s v="SDSU Recreational Turf Field"/>
    <s v="5500 Campanile Dr"/>
    <s v="San Diego, CA 92182"/>
    <n v="92182"/>
    <s v="S"/>
    <n v="32.777531000000003"/>
    <n v="-117.075495"/>
    <s v="Roof_Flat"/>
    <n v="0.75"/>
    <m/>
    <s v=""/>
    <n v="0.75"/>
    <m/>
    <n v="0"/>
    <n v="22000"/>
    <s v="Roof_Flat"/>
    <s v="Low"/>
    <n v="110000"/>
    <n v="0"/>
    <m/>
    <m/>
    <x v="76"/>
    <n v="0.57999999999999996"/>
    <n v="3.88"/>
    <x v="24"/>
    <n v="300"/>
  </r>
  <r>
    <s v="Parking Lot 9"/>
    <s v="5500 Campanile Dr"/>
    <s v="San Diego, CA 92182"/>
    <n v="92182"/>
    <s v="S"/>
    <n v="32.775530000000003"/>
    <n v="-117.077808"/>
    <s v="Pkg_Lot"/>
    <n v="0.75"/>
    <m/>
    <s v=""/>
    <n v="0.75"/>
    <m/>
    <n v="0"/>
    <n v="41000"/>
    <s v="Pkg_Lot"/>
    <s v="High"/>
    <n v="287000"/>
    <n v="0"/>
    <m/>
    <m/>
    <x v="77"/>
    <n v="1.29"/>
    <n v="8.61"/>
    <x v="25"/>
    <n v="50"/>
  </r>
  <r>
    <s v="Aztec Cir Dr Garage"/>
    <s v="5500 Campanile Dr"/>
    <s v="San Diego, CA 92182"/>
    <n v="92182"/>
    <s v="S"/>
    <n v="32.777951000000002"/>
    <n v="-117.074258"/>
    <s v="Pkg_Garage"/>
    <n v="0.75"/>
    <m/>
    <s v=""/>
    <n v="0.75"/>
    <m/>
    <n v="0"/>
    <n v="20000"/>
    <s v="Pkg_Garage"/>
    <s v="High"/>
    <n v="140000"/>
    <n v="0"/>
    <s v="GMap Zip 92115"/>
    <m/>
    <x v="76"/>
    <n v="0.57999999999999996"/>
    <n v="3.88"/>
    <x v="24"/>
    <n v="300"/>
  </r>
  <r>
    <s v="Parking Garage 12"/>
    <s v="5500 Campanile Dr"/>
    <s v="San Diego, CA 92182"/>
    <n v="92182"/>
    <s v="S"/>
    <n v="32.775615999999999"/>
    <n v="-117.074783"/>
    <s v="Pkg_Garage"/>
    <n v="0.75"/>
    <m/>
    <s v=""/>
    <n v="0.75"/>
    <m/>
    <n v="0"/>
    <n v="72000"/>
    <s v="Pkg_Garage"/>
    <s v="High"/>
    <n v="504000"/>
    <n v="0"/>
    <m/>
    <m/>
    <x v="77"/>
    <n v="1.29"/>
    <n v="8.61"/>
    <x v="25"/>
    <n v="500"/>
  </r>
  <r>
    <s v="Aztec Rec Ctr"/>
    <s v="5500 Campanile Dr"/>
    <s v="San Diego, CA 92182"/>
    <n v="92182"/>
    <s v="S"/>
    <n v="32.774510999999997"/>
    <n v="-117.07579200000001"/>
    <s v="Target"/>
    <n v="0.75"/>
    <s v="Red"/>
    <s v=""/>
    <n v="0.75"/>
    <m/>
    <n v="0"/>
    <m/>
    <s v="Existing"/>
    <m/>
    <n v="0"/>
    <n v="0"/>
    <s v="5301 55th St"/>
    <m/>
    <x v="19"/>
    <m/>
    <m/>
    <x v="7"/>
    <m/>
  </r>
  <r>
    <s v="Viejas Arena Pkg"/>
    <s v="5500 Campanile Dr"/>
    <s v="San Diego, CA 92182"/>
    <n v="92182"/>
    <s v="S"/>
    <n v="32.774647999999999"/>
    <n v="-117.07473400000001"/>
    <s v="Pkg_Lot"/>
    <n v="0.75"/>
    <m/>
    <s v=""/>
    <n v="0.75"/>
    <m/>
    <n v="0"/>
    <n v="38000"/>
    <s v="Pkg_Lot"/>
    <s v="High"/>
    <n v="266000"/>
    <n v="0"/>
    <m/>
    <m/>
    <x v="77"/>
    <n v="1.29"/>
    <n v="8.61"/>
    <x v="25"/>
    <n v="500"/>
  </r>
  <r>
    <s v="Viejas Arena"/>
    <s v="5500 Campanile Dr"/>
    <s v="San Diego, CA 92182"/>
    <n v="92182"/>
    <s v="S"/>
    <n v="32.773722999999997"/>
    <n v="-117.074625"/>
    <s v="Roof_Flat"/>
    <n v="0.75"/>
    <m/>
    <s v=""/>
    <n v="0.75"/>
    <m/>
    <n v="0"/>
    <n v="86000"/>
    <s v="Roof_Flat"/>
    <s v="High"/>
    <n v="602000"/>
    <n v="0"/>
    <m/>
    <m/>
    <x v="77"/>
    <n v="1.29"/>
    <n v="8.61"/>
    <x v="25"/>
    <n v="100"/>
  </r>
  <r>
    <s v="Peterson Gym"/>
    <s v="5500 Campanile Dr"/>
    <s v="San Diego, CA 92182"/>
    <n v="92182"/>
    <s v="S"/>
    <n v="32.774003"/>
    <n v="-117.076831"/>
    <s v="Roof_Flat"/>
    <n v="0.75"/>
    <m/>
    <s v=""/>
    <n v="0.75"/>
    <m/>
    <n v="0"/>
    <n v="68000"/>
    <s v="Roof_Flat"/>
    <s v="Medium"/>
    <n v="408000"/>
    <n v="0"/>
    <m/>
    <m/>
    <x v="77"/>
    <n v="1.29"/>
    <n v="8.61"/>
    <x v="25"/>
    <n v="100"/>
  </r>
  <r>
    <s v="Jam Center Gym"/>
    <s v="5500 Campanile Dr"/>
    <s v="San Diego, CA 92182"/>
    <n v="92182"/>
    <s v="S"/>
    <n v="32.772922999999999"/>
    <n v="-117.077366"/>
    <s v="Roof_Flat"/>
    <n v="0.75"/>
    <m/>
    <s v=""/>
    <n v="0.75"/>
    <m/>
    <n v="0"/>
    <n v="15000"/>
    <s v="Roof_Flat"/>
    <s v="High"/>
    <n v="105000"/>
    <n v="0"/>
    <m/>
    <m/>
    <x v="77"/>
    <n v="1.29"/>
    <n v="8.61"/>
    <x v="25"/>
    <n v="50"/>
  </r>
  <r>
    <s v="Goodall Alumni Center"/>
    <s v="5500 Campanile Dr"/>
    <s v="San Diego, CA 92182"/>
    <n v="92182"/>
    <s v="S"/>
    <n v="32.772986000000003"/>
    <n v="-117.076932"/>
    <s v="Roof_Flat"/>
    <n v="0.75"/>
    <m/>
    <s v=""/>
    <n v="0.75"/>
    <m/>
    <n v="0"/>
    <n v="3200"/>
    <s v="Roof_Flat"/>
    <s v="High"/>
    <n v="22400"/>
    <n v="0"/>
    <m/>
    <m/>
    <x v="77"/>
    <n v="1.29"/>
    <n v="8.61"/>
    <x v="25"/>
    <n v="100"/>
  </r>
  <r>
    <s v="Don Powell Theatre"/>
    <s v="5500 Campanile Dr"/>
    <s v="San Diego, CA 92182"/>
    <n v="92182"/>
    <s v="S"/>
    <n v="32.774963999999997"/>
    <n v="-117.072597"/>
    <s v="Roof_Flat"/>
    <n v="0.75"/>
    <m/>
    <s v=""/>
    <n v="0.75"/>
    <m/>
    <n v="0"/>
    <n v="19300"/>
    <s v="Roof_Flat"/>
    <s v="High"/>
    <n v="135100"/>
    <n v="0"/>
    <m/>
    <m/>
    <x v="77"/>
    <n v="1.29"/>
    <n v="8.61"/>
    <x v="25"/>
    <n v="500"/>
  </r>
  <r>
    <s v="Cal Coast Amphitheater"/>
    <s v="5500 Campanile Dr"/>
    <s v="San Diego, CA 92182"/>
    <n v="92182"/>
    <s v="S"/>
    <n v="32.774509000000002"/>
    <n v="-117.071257"/>
    <s v="Roof_Flat"/>
    <n v="0.75"/>
    <m/>
    <s v=""/>
    <n v="0.75"/>
    <m/>
    <n v="0"/>
    <n v="36000"/>
    <s v="Pkg_Lot"/>
    <s v="High"/>
    <n v="252000"/>
    <n v="0"/>
    <s v="Build shade structure"/>
    <m/>
    <x v="77"/>
    <n v="1.29"/>
    <n v="8.61"/>
    <x v="25"/>
    <n v="500"/>
  </r>
  <r>
    <s v="Parking Lot A N"/>
    <s v="5500 Campanile Dr"/>
    <s v="San Diego, CA 92182"/>
    <n v="92182"/>
    <s v="S"/>
    <n v="32.778767000000002"/>
    <n v="-117.069209"/>
    <s v="Pkg_Lot"/>
    <n v="0.75"/>
    <m/>
    <s v=""/>
    <n v="0.75"/>
    <m/>
    <n v="0"/>
    <n v="24000"/>
    <s v="Pkg_Lot"/>
    <s v="High"/>
    <n v="168000"/>
    <n v="0"/>
    <m/>
    <m/>
    <x v="76"/>
    <n v="0.57999999999999996"/>
    <n v="3.88"/>
    <x v="24"/>
    <n v="0"/>
  </r>
  <r>
    <s v="Parking Lot A S"/>
    <s v="5500 Campanile Dr"/>
    <s v="San Diego, CA 92182"/>
    <n v="92182"/>
    <s v="S"/>
    <n v="32.777721"/>
    <n v="-117.06853700000001"/>
    <s v="Pkg_Lot"/>
    <n v="0.75"/>
    <m/>
    <s v=""/>
    <n v="0.75"/>
    <m/>
    <n v="0"/>
    <n v="79000"/>
    <s v="Pkg_Lot"/>
    <s v="High"/>
    <n v="553000"/>
    <n v="0"/>
    <m/>
    <m/>
    <x v="76"/>
    <n v="0.57999999999999996"/>
    <n v="3.88"/>
    <x v="24"/>
    <n v="0"/>
  </r>
  <r>
    <s v="Parking Lot C"/>
    <s v="5500 Campanile Dr"/>
    <s v="San Diego, CA 92182"/>
    <n v="92182"/>
    <s v="S"/>
    <n v="32.777374999999999"/>
    <n v="-117.065952"/>
    <s v="Pkg_Lot"/>
    <n v="0.75"/>
    <m/>
    <s v=""/>
    <n v="0.75"/>
    <m/>
    <n v="0"/>
    <n v="39000"/>
    <s v="Pkg_Lot"/>
    <s v="High"/>
    <n v="273000"/>
    <n v="0"/>
    <m/>
    <m/>
    <x v="76"/>
    <n v="0.57999999999999996"/>
    <n v="3.88"/>
    <x v="24"/>
    <n v="50"/>
  </r>
  <r>
    <s v="Parking Lot 17"/>
    <s v="5500 Campanile Dr"/>
    <s v="San Diego, CA 92182"/>
    <n v="92182"/>
    <s v="S"/>
    <n v="32.778343999999997"/>
    <n v="-117.06428200000001"/>
    <s v="Pkg_Lot"/>
    <n v="0.75"/>
    <m/>
    <s v=""/>
    <n v="0.75"/>
    <m/>
    <n v="0"/>
    <n v="52000"/>
    <s v="Pkg_Lot"/>
    <s v="High"/>
    <n v="364000"/>
    <n v="0"/>
    <m/>
    <m/>
    <x v="76"/>
    <n v="0.57999999999999996"/>
    <n v="3.88"/>
    <x v="24"/>
    <n v="50"/>
  </r>
  <r>
    <s v="Parking Lot 2"/>
    <s v="5500 Campanile Dr"/>
    <s v="San Diego, CA 92182"/>
    <n v="92182"/>
    <s v="S"/>
    <n v="32.773910000000001"/>
    <n v="-117.067485"/>
    <s v="Pkg_Lot"/>
    <n v="0.75"/>
    <m/>
    <s v=""/>
    <n v="0.75"/>
    <m/>
    <n v="0"/>
    <n v="83000"/>
    <s v="Pkg_Lot"/>
    <s v="High"/>
    <n v="581000"/>
    <n v="0"/>
    <m/>
    <m/>
    <x v="78"/>
    <n v="1.59"/>
    <n v="10.6"/>
    <x v="25"/>
    <n v="300"/>
  </r>
  <r>
    <s v="Parking Lot 2A"/>
    <s v="5500 Campanile Dr"/>
    <s v="San Diego, CA 92182"/>
    <n v="92182"/>
    <s v="S"/>
    <n v="32.773256000000003"/>
    <n v="-117.06838999999999"/>
    <s v="Pkg_Lot"/>
    <n v="0.75"/>
    <m/>
    <s v=""/>
    <n v="0.75"/>
    <m/>
    <n v="0"/>
    <n v="68000"/>
    <s v="Pkg_Lot"/>
    <s v="High"/>
    <n v="476000"/>
    <n v="0"/>
    <m/>
    <m/>
    <x v="78"/>
    <n v="1.59"/>
    <n v="10.6"/>
    <x v="25"/>
    <n v="0"/>
  </r>
  <r>
    <s v="Parking Lot E"/>
    <s v="5500 Campanile Dr"/>
    <s v="San Diego, CA 92182"/>
    <n v="92182"/>
    <s v="S"/>
    <n v="32.773283999999997"/>
    <n v="-117.066581"/>
    <s v="Pkg_Lot"/>
    <n v="0.75"/>
    <m/>
    <s v=""/>
    <n v="0.75"/>
    <m/>
    <n v="0"/>
    <n v="55000"/>
    <s v="Pkg_Lot"/>
    <s v="High"/>
    <n v="385000"/>
    <n v="0"/>
    <m/>
    <m/>
    <x v="78"/>
    <n v="1.59"/>
    <n v="10.6"/>
    <x v="25"/>
    <n v="300"/>
  </r>
  <r>
    <s v="Parking Garage 3"/>
    <s v="5500 Campanile Dr"/>
    <s v="San Diego, CA 92182"/>
    <n v="92182"/>
    <s v="S"/>
    <n v="32.772374999999997"/>
    <n v="-117.066446"/>
    <s v="Pkg_Garage"/>
    <n v="0.75"/>
    <m/>
    <s v=""/>
    <n v="0.75"/>
    <m/>
    <n v="0"/>
    <n v="120000"/>
    <s v="Pkg_Garage"/>
    <s v="High"/>
    <n v="840000"/>
    <n v="0"/>
    <m/>
    <m/>
    <x v="78"/>
    <n v="1.59"/>
    <n v="10.6"/>
    <x v="25"/>
    <n v="300"/>
  </r>
  <r>
    <s v="Parking Garage 4"/>
    <s v="5500 Campanile Dr"/>
    <s v="San Diego, CA 92182"/>
    <n v="92182"/>
    <s v="S"/>
    <n v="32.771320000000003"/>
    <n v="-117.066447"/>
    <s v="Pkg_Garage"/>
    <n v="0.75"/>
    <m/>
    <s v=""/>
    <n v="0.75"/>
    <m/>
    <n v="0"/>
    <n v="108000"/>
    <s v="Pkg_Garage"/>
    <s v="High"/>
    <n v="756000"/>
    <n v="0"/>
    <m/>
    <m/>
    <x v="78"/>
    <n v="1.59"/>
    <n v="10.6"/>
    <x v="25"/>
    <n v="0"/>
  </r>
  <r>
    <s v="Parking Lot Q"/>
    <s v="5500 Campanile Dr"/>
    <s v="San Diego, CA 92182"/>
    <n v="92182"/>
    <s v="S"/>
    <n v="32.771963999999997"/>
    <n v="-117.07503699999999"/>
    <s v="Pkg_Lot"/>
    <n v="0.75"/>
    <m/>
    <s v=""/>
    <n v="0.75"/>
    <m/>
    <n v="0"/>
    <n v="12000"/>
    <s v="Pkg_Lot"/>
    <s v="High"/>
    <n v="84000"/>
    <n v="0"/>
    <m/>
    <m/>
    <x v="77"/>
    <n v="1.29"/>
    <n v="8.61"/>
    <x v="25"/>
    <n v="0"/>
  </r>
  <r>
    <s v="Lindo Paseo Garage"/>
    <s v="5500 Campanile Dr"/>
    <s v="San Diego, CA 92182"/>
    <n v="92182"/>
    <s v="S"/>
    <n v="32.772061000000001"/>
    <n v="-117.073958"/>
    <s v="Pkg_Garage"/>
    <n v="0.75"/>
    <m/>
    <s v=""/>
    <n v="0.75"/>
    <m/>
    <n v="0"/>
    <n v="58000"/>
    <s v="Pkg_Garage"/>
    <s v="High"/>
    <n v="406000"/>
    <n v="0"/>
    <m/>
    <m/>
    <x v="77"/>
    <n v="1.29"/>
    <n v="8.61"/>
    <x v="25"/>
    <n v="0"/>
  </r>
  <r>
    <s v="Parking Lot 5A"/>
    <s v="5500 Campanile Dr"/>
    <s v="San Diego, CA 92182"/>
    <n v="92182"/>
    <s v="S"/>
    <n v="32.772882000000003"/>
    <n v="-117.07132"/>
    <s v="Pkg_Lot"/>
    <n v="0.75"/>
    <m/>
    <s v=""/>
    <n v="0.75"/>
    <m/>
    <n v="0"/>
    <n v="17000"/>
    <s v="Pkg_Lot"/>
    <s v="High"/>
    <n v="119000"/>
    <n v="0"/>
    <m/>
    <m/>
    <x v="77"/>
    <n v="1.29"/>
    <n v="8.61"/>
    <x v="25"/>
    <n v="0"/>
  </r>
  <r>
    <s v="Alvarado Medical Ctr W"/>
    <s v="6475 Alvarado Rd "/>
    <s v="San Diego, CA 92120"/>
    <n v="92120"/>
    <s v="S"/>
    <n v="32.777045000000001"/>
    <n v="-117.06142"/>
    <s v="Hospital"/>
    <n v="1.5"/>
    <m/>
    <s v="Total"/>
    <n v="1.25"/>
    <m/>
    <n v="7"/>
    <m/>
    <m/>
    <m/>
    <n v="0"/>
    <n v="1360800"/>
    <m/>
    <m/>
    <x v="76"/>
    <n v="0.57999999999999996"/>
    <n v="3.88"/>
    <x v="24"/>
    <m/>
  </r>
  <r>
    <s v="AMCW Pkg Lot W"/>
    <s v="6475 Alvarado Rd "/>
    <s v="San Diego, CA 92120"/>
    <n v="92120"/>
    <s v="S"/>
    <n v="32.777700000000003"/>
    <n v="-117.062016"/>
    <s v="Pkg_Lot"/>
    <n v="0.75"/>
    <m/>
    <s v=""/>
    <n v="0.75"/>
    <m/>
    <n v="0"/>
    <n v="56000"/>
    <s v="Pkg_Lot"/>
    <s v="High"/>
    <n v="392000"/>
    <n v="0"/>
    <m/>
    <m/>
    <x v="76"/>
    <n v="0.57999999999999996"/>
    <n v="3.88"/>
    <x v="24"/>
    <n v="50"/>
  </r>
  <r>
    <s v="AMCW Pkg Lot Mid"/>
    <s v="6475 Alvarado Rd "/>
    <s v="San Diego, CA 92120"/>
    <n v="92120"/>
    <s v="S"/>
    <n v="32.777714000000003"/>
    <n v="-117.060783"/>
    <s v="Pkg_Lot"/>
    <n v="0.75"/>
    <m/>
    <s v=""/>
    <n v="0.75"/>
    <m/>
    <n v="0"/>
    <n v="40000"/>
    <s v="Pkg_Lot"/>
    <s v="High"/>
    <n v="280000"/>
    <n v="0"/>
    <m/>
    <m/>
    <x v="76"/>
    <n v="0.57999999999999996"/>
    <n v="3.88"/>
    <x v="24"/>
    <n v="50"/>
  </r>
  <r>
    <s v="AMCW Pkg Lot SE"/>
    <s v="6475 Alvarado Rd "/>
    <s v="San Diego, CA 92120"/>
    <n v="92120"/>
    <s v="S"/>
    <n v="32.776693000000002"/>
    <n v="-117.06039699999999"/>
    <s v="Pkg_Lot"/>
    <n v="0.75"/>
    <m/>
    <s v=""/>
    <n v="0.75"/>
    <m/>
    <n v="0"/>
    <n v="57000"/>
    <s v="Pkg_Lot"/>
    <s v="High"/>
    <n v="399000"/>
    <n v="0"/>
    <m/>
    <m/>
    <x v="76"/>
    <n v="0.57999999999999996"/>
    <n v="3.88"/>
    <x v="24"/>
    <n v="50"/>
  </r>
  <r>
    <s v="AMCW Bldg E"/>
    <s v="6475 Alvarado Rd "/>
    <s v="San Diego, CA 92120"/>
    <n v="92120"/>
    <s v="S"/>
    <n v="32.777306000000003"/>
    <n v="-117.060356"/>
    <s v="Roof_Flat"/>
    <n v="0.75"/>
    <m/>
    <s v=""/>
    <n v="0.75"/>
    <m/>
    <n v="0"/>
    <n v="22000"/>
    <s v="Roof_Flat"/>
    <s v="High"/>
    <n v="154000"/>
    <n v="0"/>
    <m/>
    <m/>
    <x v="76"/>
    <n v="0.57999999999999996"/>
    <n v="3.88"/>
    <x v="24"/>
    <n v="100"/>
  </r>
  <r>
    <s v="AMCW Pkg Lot S"/>
    <s v="6475 Alvarado Rd "/>
    <s v="San Diego, CA 92120"/>
    <n v="92120"/>
    <s v="S"/>
    <n v="32.776482999999999"/>
    <n v="-117.06162500000001"/>
    <s v="Pkg_Lot"/>
    <n v="0.75"/>
    <m/>
    <s v=""/>
    <n v="0.75"/>
    <m/>
    <n v="0"/>
    <n v="10000"/>
    <s v="Pkg_Lot"/>
    <s v="High"/>
    <n v="70000"/>
    <n v="0"/>
    <m/>
    <m/>
    <x v="76"/>
    <n v="0.57999999999999996"/>
    <n v="3.88"/>
    <x v="24"/>
    <n v="300"/>
  </r>
  <r>
    <s v="AMCW Pharmacy"/>
    <s v="6475 Alvarado Rd "/>
    <s v="San Diego, CA 92120"/>
    <n v="92120"/>
    <s v="S"/>
    <n v="32.776381000000001"/>
    <n v="-117.061234"/>
    <s v="Roof_Flat"/>
    <n v="0.75"/>
    <m/>
    <s v=""/>
    <n v="0.75"/>
    <m/>
    <n v="0"/>
    <n v="9400"/>
    <s v="Roof_Flat"/>
    <s v="High"/>
    <n v="65800"/>
    <n v="0"/>
    <m/>
    <m/>
    <x v="76"/>
    <n v="0.57999999999999996"/>
    <n v="3.88"/>
    <x v="24"/>
    <n v="300"/>
  </r>
  <r>
    <s v="Alvarado Hosp &amp;amp; Medical Plaza"/>
    <s v="6655 Alvarado Rd"/>
    <s v="San Diego, CA 92120"/>
    <n v="92120"/>
    <s v="S"/>
    <n v="32.776375000000002"/>
    <n v="-117.05641300000001"/>
    <s v="Hospital"/>
    <n v="1.5"/>
    <m/>
    <s v="Total"/>
    <n v="1.25"/>
    <m/>
    <n v="7"/>
    <m/>
    <m/>
    <m/>
    <n v="0"/>
    <n v="1334200"/>
    <m/>
    <m/>
    <x v="79"/>
    <n v="1.38"/>
    <n v="9.17"/>
    <x v="24"/>
    <m/>
  </r>
  <r>
    <s v="Alvarado Hosp Pkg Garage"/>
    <s v="6655 Alvarado Rd"/>
    <s v="San Diego, CA 92120"/>
    <n v="92120"/>
    <s v="S"/>
    <n v="32.775855999999997"/>
    <n v="-117.05744199999999"/>
    <s v="Pkg_Garage"/>
    <n v="0.75"/>
    <m/>
    <s v=""/>
    <n v="0.75"/>
    <m/>
    <n v="0"/>
    <n v="52000"/>
    <s v="Roof_Flat"/>
    <s v="High"/>
    <n v="364000"/>
    <n v="0"/>
    <m/>
    <m/>
    <x v="79"/>
    <n v="1.38"/>
    <n v="9.17"/>
    <x v="24"/>
    <n v="0"/>
  </r>
  <r>
    <s v="Alvarado Medical Plaza Pharmacy"/>
    <s v="6655 Alvarado Rd"/>
    <s v="San Diego, CA 92120"/>
    <n v="92120"/>
    <s v="S"/>
    <n v="32.776153000000001"/>
    <n v="-117.055893"/>
    <s v="Roof_Flat"/>
    <n v="0.75"/>
    <m/>
    <s v=""/>
    <n v="0.75"/>
    <m/>
    <n v="0"/>
    <n v="18600"/>
    <s v="Roof_Flat"/>
    <s v="High"/>
    <n v="130200"/>
    <n v="0"/>
    <s v="5555 Reservoir Dr"/>
    <m/>
    <x v="79"/>
    <n v="1.38"/>
    <n v="9.17"/>
    <x v="24"/>
    <n v="0"/>
  </r>
  <r>
    <s v="Alvarado Med Plaz Pkg Lot 1"/>
    <s v="6655 Alvarado Rd"/>
    <s v="San Diego, CA 92120"/>
    <n v="92120"/>
    <s v="S"/>
    <n v="32.776659000000002"/>
    <n v="-117.05593500000001"/>
    <s v="Pkg_Lot"/>
    <n v="0.75"/>
    <m/>
    <s v=""/>
    <n v="0.75"/>
    <m/>
    <n v="0"/>
    <n v="22000"/>
    <s v="Pkg_Lot"/>
    <s v="High"/>
    <n v="154000"/>
    <n v="0"/>
    <s v="5555 Reservoir Dr"/>
    <m/>
    <x v="79"/>
    <n v="1.38"/>
    <n v="9.17"/>
    <x v="24"/>
    <n v="0"/>
  </r>
  <r>
    <s v="Alvarado Med Plaz Pkg Lot 2"/>
    <s v="6655 Alvarado Rd"/>
    <s v="San Diego, CA 92120"/>
    <n v="92120"/>
    <s v="S"/>
    <n v="32.775683000000001"/>
    <n v="-117.056179"/>
    <s v="Pkg_Lot"/>
    <n v="0.75"/>
    <m/>
    <s v=""/>
    <n v="0.75"/>
    <m/>
    <n v="0"/>
    <n v="42000"/>
    <s v="Pkg_Lot"/>
    <s v="High"/>
    <n v="294000"/>
    <n v="0"/>
    <s v="5555 Reservoir Dr"/>
    <m/>
    <x v="79"/>
    <n v="1.38"/>
    <n v="9.17"/>
    <x v="24"/>
    <n v="0"/>
  </r>
  <r>
    <s v="Alvarado Med Plaz Pkg Lot 3"/>
    <s v="6655 Alvarado Rd"/>
    <s v="San Diego, CA 92120"/>
    <n v="92120"/>
    <s v="S"/>
    <n v="32.775933000000002"/>
    <n v="-117.054891"/>
    <s v="Pkg_Lot"/>
    <n v="0.75"/>
    <m/>
    <s v=""/>
    <n v="0.75"/>
    <m/>
    <n v="0"/>
    <n v="43000"/>
    <s v="Pkg_Lot"/>
    <s v="High"/>
    <n v="301000"/>
    <n v="0"/>
    <s v="5555 Reservoir Dr"/>
    <m/>
    <x v="79"/>
    <n v="1.38"/>
    <n v="9.17"/>
    <x v="24"/>
    <n v="0"/>
  </r>
  <r>
    <s v="Alvarado Med Plaz Pkg Lot 4"/>
    <s v="6655 Alvarado Rd"/>
    <s v="San Diego, CA 92120"/>
    <n v="92120"/>
    <s v="S"/>
    <n v="32.776403999999999"/>
    <n v="-117.054587"/>
    <s v="Pkg_Lot"/>
    <n v="0.75"/>
    <m/>
    <s v=""/>
    <n v="0.75"/>
    <m/>
    <n v="0"/>
    <n v="13000"/>
    <s v="Pkg_Lot"/>
    <s v="High"/>
    <n v="91000"/>
    <n v="0"/>
    <s v="5555 Reservoir Dr"/>
    <m/>
    <x v="79"/>
    <n v="1.38"/>
    <n v="9.17"/>
    <x v="24"/>
    <n v="0"/>
  </r>
  <r>
    <s v="Burlington Coat Factory"/>
    <s v="5405 University Ave"/>
    <s v="San Diego, CA 92105"/>
    <n v="92105"/>
    <s v="S"/>
    <n v="32.747338999999997"/>
    <n v="-117.078514"/>
    <s v="Shopping"/>
    <n v="1.5"/>
    <m/>
    <s v="Total"/>
    <n v="1.25"/>
    <m/>
    <n v="4"/>
    <m/>
    <m/>
    <m/>
    <n v="0"/>
    <n v="1547000"/>
    <m/>
    <m/>
    <x v="80"/>
    <n v="1.31"/>
    <n v="8.7100000000000009"/>
    <x v="25"/>
    <m/>
  </r>
  <r>
    <s v="Burlington Coat Pkg Lot N"/>
    <s v="5405 University Ave"/>
    <s v="San Diego, CA 92105"/>
    <n v="92105"/>
    <s v="S"/>
    <n v="32.747694000000003"/>
    <n v="-117.078203"/>
    <s v="Pkg_Lot"/>
    <n v="0.75"/>
    <m/>
    <s v=""/>
    <n v="0.75"/>
    <m/>
    <n v="0"/>
    <n v="118000"/>
    <s v="Pkg_Lot"/>
    <s v="High"/>
    <n v="826000"/>
    <n v="0"/>
    <m/>
    <m/>
    <x v="80"/>
    <n v="1.31"/>
    <n v="8.7100000000000009"/>
    <x v="25"/>
    <n v="0"/>
  </r>
  <r>
    <s v="Burlington Coat Pkg Lot W"/>
    <s v="5405 University Ave"/>
    <s v="San Diego, CA 92105"/>
    <n v="92105"/>
    <s v="S"/>
    <n v="32.746806999999997"/>
    <n v="-117.07912"/>
    <s v="Pkg_Lot"/>
    <n v="0.75"/>
    <m/>
    <s v=""/>
    <n v="0.75"/>
    <m/>
    <n v="0"/>
    <n v="46000"/>
    <s v="Pkg_Lot"/>
    <s v="High"/>
    <n v="322000"/>
    <n v="0"/>
    <m/>
    <m/>
    <x v="80"/>
    <n v="1.31"/>
    <n v="8.7100000000000009"/>
    <x v="25"/>
    <n v="0"/>
  </r>
  <r>
    <s v="Burlington Coat Bldg"/>
    <s v="5405 University Ave"/>
    <s v="San Diego, CA 92105"/>
    <n v="92105"/>
    <s v="S"/>
    <n v="32.747042999999998"/>
    <n v="-117.07817799999999"/>
    <s v="Roof_Flat"/>
    <n v="0.75"/>
    <m/>
    <s v=""/>
    <n v="0.75"/>
    <m/>
    <n v="0"/>
    <n v="57000"/>
    <s v="Pkg_Lot"/>
    <s v="High"/>
    <n v="399000"/>
    <n v="0"/>
    <m/>
    <m/>
    <x v="80"/>
    <n v="1.31"/>
    <n v="8.7100000000000009"/>
    <x v="25"/>
    <n v="0"/>
  </r>
  <r>
    <s v="Marketplace at the Grove Shopping Center"/>
    <s v="3412 College Ave"/>
    <s v="San Diego, CA 92115"/>
    <n v="92115"/>
    <s v="S"/>
    <n v="32.741230000000002"/>
    <n v="-117.05513000000001"/>
    <s v="Shopping"/>
    <n v="1.5"/>
    <m/>
    <s v="Total"/>
    <n v="1.25"/>
    <m/>
    <n v="10"/>
    <m/>
    <m/>
    <m/>
    <n v="0"/>
    <n v="6136000"/>
    <m/>
    <m/>
    <x v="81"/>
    <n v="1.23"/>
    <n v="8.19"/>
    <x v="26"/>
    <m/>
  </r>
  <r>
    <s v="MGSC Pkg 1"/>
    <s v="3412 College Ave"/>
    <s v="San Diego, CA 92115"/>
    <n v="92115"/>
    <s v="S"/>
    <n v="32.743188000000004"/>
    <n v="-117.053872"/>
    <s v="Pkg_Lot"/>
    <n v="0.75"/>
    <m/>
    <s v=""/>
    <n v="0.75"/>
    <m/>
    <n v="0"/>
    <n v="109000"/>
    <s v="Pkg_Lot"/>
    <s v="High"/>
    <n v="763000"/>
    <n v="0"/>
    <m/>
    <m/>
    <x v="81"/>
    <n v="1.23"/>
    <n v="8.19"/>
    <x v="26"/>
    <n v="0"/>
  </r>
  <r>
    <s v="MGSC Pkg 2"/>
    <s v="3412 College Ave"/>
    <s v="San Diego, CA 92115"/>
    <n v="92115"/>
    <s v="S"/>
    <n v="32.741853999999996"/>
    <n v="-117.0557"/>
    <s v="Pkg_Lot"/>
    <n v="0.75"/>
    <m/>
    <s v=""/>
    <n v="0.75"/>
    <m/>
    <n v="0"/>
    <n v="197000"/>
    <s v="Pkg_Lot"/>
    <s v="High"/>
    <n v="1379000"/>
    <n v="0"/>
    <m/>
    <m/>
    <x v="81"/>
    <n v="1.23"/>
    <n v="8.19"/>
    <x v="26"/>
    <n v="0"/>
  </r>
  <r>
    <s v="MGSC Pkg 3"/>
    <s v="3412 College Ave"/>
    <s v="San Diego, CA 92115"/>
    <n v="92115"/>
    <s v="S"/>
    <n v="32.738487999999997"/>
    <n v="-117.05690800000001"/>
    <s v="Pkg_Lot"/>
    <n v="0.75"/>
    <m/>
    <s v=""/>
    <n v="0.75"/>
    <m/>
    <n v="0"/>
    <n v="177000"/>
    <s v="Pkg_Lot"/>
    <s v="High"/>
    <n v="1239000"/>
    <n v="0"/>
    <m/>
    <m/>
    <x v="81"/>
    <n v="1.23"/>
    <n v="8.19"/>
    <x v="26"/>
    <n v="100"/>
  </r>
  <r>
    <s v="MGSC Pkg 4"/>
    <s v="3412 College Ave"/>
    <s v="San Diego, CA 92115"/>
    <n v="92115"/>
    <s v="S"/>
    <n v="32.739567999999998"/>
    <n v="-117.054501"/>
    <s v="Pkg_Lot"/>
    <n v="0.75"/>
    <m/>
    <s v=""/>
    <n v="0.75"/>
    <m/>
    <n v="0"/>
    <n v="117000"/>
    <s v="Pkg_Lot"/>
    <s v="High"/>
    <n v="819000"/>
    <n v="0"/>
    <m/>
    <m/>
    <x v="81"/>
    <n v="1.23"/>
    <n v="8.19"/>
    <x v="26"/>
    <n v="0"/>
  </r>
  <r>
    <s v="Kohls"/>
    <s v="3412 College Ave"/>
    <s v="San Diego, CA 92115"/>
    <n v="92115"/>
    <s v="S"/>
    <n v="32.742269"/>
    <n v="-117.054256"/>
    <s v="Roof_Flat"/>
    <n v="0.75"/>
    <m/>
    <s v=""/>
    <n v="0.75"/>
    <m/>
    <n v="0"/>
    <n v="72000"/>
    <s v="Pkg_Lot"/>
    <s v="High"/>
    <n v="504000"/>
    <n v="0"/>
    <m/>
    <m/>
    <x v="81"/>
    <n v="1.23"/>
    <n v="8.19"/>
    <x v="26"/>
    <n v="0"/>
  </r>
  <r>
    <s v="Walmart"/>
    <s v="3412 College Ave"/>
    <s v="San Diego, CA 92115"/>
    <n v="92115"/>
    <s v="S"/>
    <n v="32.741573000000002"/>
    <n v="-117.053614"/>
    <s v="Target"/>
    <n v="0.75"/>
    <s v="Red"/>
    <s v=""/>
    <n v="0.75"/>
    <m/>
    <n v="0"/>
    <m/>
    <s v="Existing"/>
    <m/>
    <n v="0"/>
    <n v="0"/>
    <m/>
    <m/>
    <x v="81"/>
    <n v="1.23"/>
    <n v="8.19"/>
    <x v="26"/>
    <n v="0"/>
  </r>
  <r>
    <s v="Target"/>
    <s v="3412 College Ave"/>
    <s v="San Diego, CA 92115"/>
    <n v="92115"/>
    <s v="S"/>
    <n v="32.740648"/>
    <n v="-117.055407"/>
    <s v="Roof_Flat"/>
    <n v="0.75"/>
    <m/>
    <s v=""/>
    <n v="0.75"/>
    <m/>
    <n v="0"/>
    <n v="104000"/>
    <s v="Roof_Flat"/>
    <s v="Low"/>
    <n v="520000"/>
    <n v="0"/>
    <m/>
    <m/>
    <x v="81"/>
    <n v="1.23"/>
    <n v="8.19"/>
    <x v="26"/>
    <n v="0"/>
  </r>
  <r>
    <s v="Sam Ash Music"/>
    <s v="3412 College Ave"/>
    <s v="San Diego, CA 92115"/>
    <n v="92115"/>
    <s v="S"/>
    <n v="32.740155000000001"/>
    <n v="-117.05476899999999"/>
    <s v="Roof_Flat"/>
    <n v="0.75"/>
    <m/>
    <s v=""/>
    <n v="0.75"/>
    <m/>
    <n v="0"/>
    <n v="57000"/>
    <s v="Roof_Flat"/>
    <s v="Medium"/>
    <n v="342000"/>
    <n v="0"/>
    <m/>
    <m/>
    <x v="81"/>
    <n v="1.23"/>
    <n v="8.19"/>
    <x v="26"/>
    <n v="0"/>
  </r>
  <r>
    <s v="Sam's Club"/>
    <s v="3412 College Ave"/>
    <s v="San Diego, CA 92115"/>
    <n v="92115"/>
    <s v="S"/>
    <n v="32.739457999999999"/>
    <n v="-117.055877"/>
    <s v="Roof_Flat"/>
    <n v="0.75"/>
    <m/>
    <s v=""/>
    <n v="0.75"/>
    <m/>
    <n v="0"/>
    <n v="114000"/>
    <s v="Roof_Flat"/>
    <s v="Low"/>
    <n v="570000"/>
    <n v="0"/>
    <m/>
    <m/>
    <x v="81"/>
    <n v="1.23"/>
    <n v="8.19"/>
    <x v="26"/>
    <n v="0"/>
  </r>
  <r>
    <s v="IKEA Warehouse Center"/>
    <s v="7365 Mission Gorge Rd"/>
    <s v="San Diego, CA 92120"/>
    <n v="92120"/>
    <s v="S"/>
    <n v="32.803851999999999"/>
    <n v="-117.082387"/>
    <s v="Shopping"/>
    <n v="1.5"/>
    <m/>
    <s v="Total"/>
    <n v="1.25"/>
    <m/>
    <n v="6"/>
    <m/>
    <m/>
    <m/>
    <n v="0"/>
    <n v="3613000"/>
    <m/>
    <m/>
    <x v="82"/>
    <n v="1.32"/>
    <n v="8.77"/>
    <x v="27"/>
    <m/>
  </r>
  <r>
    <s v="IKEA Warehouse Pickup"/>
    <s v="7365 Mission Gorge Rd"/>
    <s v="San Diego, CA 92120"/>
    <n v="92120"/>
    <s v="S"/>
    <n v="32.803389000000003"/>
    <n v="-117.08211799999999"/>
    <s v="Roof_Flat"/>
    <n v="0.75"/>
    <m/>
    <s v=""/>
    <n v="0.75"/>
    <m/>
    <n v="0"/>
    <n v="283000"/>
    <s v="Roof_Flat"/>
    <s v="Medium"/>
    <n v="1698000"/>
    <n v="0"/>
    <m/>
    <m/>
    <x v="82"/>
    <n v="1.32"/>
    <n v="8.77"/>
    <x v="27"/>
    <n v="200"/>
  </r>
  <r>
    <s v="PODS"/>
    <s v="7365 Mission Gorge Rd"/>
    <s v="San Diego, CA 92120"/>
    <n v="92120"/>
    <s v="S"/>
    <n v="32.805137000000002"/>
    <n v="-117.08094199999999"/>
    <s v="Roof_Flat"/>
    <n v="0.75"/>
    <m/>
    <s v=""/>
    <n v="0.75"/>
    <m/>
    <n v="0"/>
    <n v="107000"/>
    <s v="Roof_Flat"/>
    <s v="Low"/>
    <n v="535000"/>
    <n v="0"/>
    <m/>
    <m/>
    <x v="82"/>
    <n v="1.32"/>
    <n v="8.77"/>
    <x v="27"/>
    <n v="0"/>
  </r>
  <r>
    <s v="Forward Air"/>
    <s v="7365 Mission Gorge Rd"/>
    <s v="San Diego, CA 92120"/>
    <n v="92120"/>
    <s v="S"/>
    <n v="32.803998999999997"/>
    <n v="-117.08341900000001"/>
    <s v="Roof_Flat"/>
    <n v="0.75"/>
    <m/>
    <s v=""/>
    <n v="0.75"/>
    <m/>
    <n v="0"/>
    <n v="126000"/>
    <s v="Roof_Flat"/>
    <s v="Medium"/>
    <n v="756000"/>
    <n v="0"/>
    <m/>
    <m/>
    <x v="82"/>
    <n v="1.32"/>
    <n v="8.77"/>
    <x v="27"/>
    <n v="0"/>
  </r>
  <r>
    <s v="Davis Trucking"/>
    <s v="7365 Mission Gorge Rd"/>
    <s v="San Diego, CA 92120"/>
    <n v="92120"/>
    <s v="S"/>
    <n v="32.802990999999999"/>
    <n v="-117.08558499999999"/>
    <s v="Roof_Flat"/>
    <n v="0.75"/>
    <m/>
    <s v=""/>
    <n v="0.75"/>
    <m/>
    <n v="0"/>
    <n v="54000"/>
    <s v="Roof_Flat"/>
    <s v="Medium"/>
    <n v="324000"/>
    <n v="0"/>
    <m/>
    <m/>
    <x v="82"/>
    <n v="1.32"/>
    <n v="8.77"/>
    <x v="27"/>
    <n v="0"/>
  </r>
  <r>
    <s v="Saddle Crk Logistics"/>
    <s v="7365 Mission Gorge Rd"/>
    <s v="San Diego, CA 92120"/>
    <n v="92120"/>
    <s v="S"/>
    <n v="32.802596999999999"/>
    <n v="-117.084399"/>
    <s v="Roof_Flat"/>
    <n v="0.75"/>
    <m/>
    <s v=""/>
    <n v="0.75"/>
    <m/>
    <n v="0"/>
    <n v="50000"/>
    <s v="Roof_Flat"/>
    <s v="Medium"/>
    <n v="300000"/>
    <n v="0"/>
    <m/>
    <m/>
    <x v="82"/>
    <n v="1.32"/>
    <n v="8.77"/>
    <x v="27"/>
    <n v="200"/>
  </r>
  <r>
    <s v="Mission Beach Pkg Lot"/>
    <s v="3071-3099 Ocean Front Walk"/>
    <s v="San Diego, CA 92109"/>
    <n v="92109"/>
    <s v="S"/>
    <n v="32.769033999999998"/>
    <n v="-117.252014"/>
    <s v="Pkg_Lot"/>
    <n v="1"/>
    <m/>
    <s v=""/>
    <n v="1"/>
    <m/>
    <n v="1"/>
    <n v="179000"/>
    <s v="Pkg_Lot"/>
    <s v="High"/>
    <n v="1253000"/>
    <n v="1253000"/>
    <m/>
    <m/>
    <x v="83"/>
    <n v="1.43"/>
    <n v="9.56"/>
    <x v="15"/>
    <n v="0"/>
  </r>
  <r>
    <s v="Bonita Cove"/>
    <s v="3021-3035 Mission Blvd"/>
    <s v="San Diego, CA 92109"/>
    <n v="92109"/>
    <s v="S"/>
    <n v="32.770023999999999"/>
    <n v="-117.249388"/>
    <s v="Venue"/>
    <n v="1.5"/>
    <s v="Yellow"/>
    <s v="Total"/>
    <n v="1.25"/>
    <m/>
    <n v="4"/>
    <m/>
    <m/>
    <m/>
    <n v="0"/>
    <n v="2653000"/>
    <m/>
    <m/>
    <x v="83"/>
    <n v="1.43"/>
    <n v="9.56"/>
    <x v="15"/>
    <m/>
  </r>
  <r>
    <s v="Bonita Cove Pkg W"/>
    <s v="3021-3035 Mission Blvd"/>
    <s v="San Diego, CA 92109"/>
    <n v="92109"/>
    <s v="S"/>
    <n v="32.768658000000002"/>
    <n v="-117.25039200000001"/>
    <s v="Pkg_Lot"/>
    <n v="0.75"/>
    <m/>
    <s v=""/>
    <n v="0.75"/>
    <m/>
    <n v="0"/>
    <n v="158000"/>
    <s v="Pkg_Lot"/>
    <s v="High"/>
    <n v="1106000"/>
    <n v="0"/>
    <m/>
    <m/>
    <x v="83"/>
    <n v="1.43"/>
    <n v="9.56"/>
    <x v="15"/>
    <n v="0"/>
  </r>
  <r>
    <s v="Bonita Cove Pkg N"/>
    <s v="3021-3035 Mission Blvd"/>
    <s v="San Diego, CA 92109"/>
    <n v="92109"/>
    <s v="S"/>
    <n v="32.771169999999998"/>
    <n v="-117.24888"/>
    <s v="Pkg_Lot"/>
    <n v="0.75"/>
    <m/>
    <s v=""/>
    <n v="0.75"/>
    <m/>
    <n v="0"/>
    <n v="154000"/>
    <s v="Pkg_Lot"/>
    <s v="High"/>
    <n v="1078000"/>
    <n v="0"/>
    <m/>
    <m/>
    <x v="83"/>
    <n v="1.43"/>
    <n v="9.56"/>
    <x v="15"/>
    <n v="100"/>
  </r>
  <r>
    <s v="Bonita Cove Pkg NE"/>
    <s v="3021-3035 Mission Blvd"/>
    <s v="San Diego, CA 92109"/>
    <n v="92109"/>
    <s v="S"/>
    <n v="32.770001999999998"/>
    <n v="-117.246628"/>
    <s v="Pkg_Lot"/>
    <n v="0.75"/>
    <m/>
    <s v=""/>
    <n v="0.75"/>
    <m/>
    <n v="0"/>
    <n v="67000"/>
    <s v="Pkg_Lot"/>
    <s v="High"/>
    <n v="469000"/>
    <n v="0"/>
    <m/>
    <m/>
    <x v="83"/>
    <n v="1.43"/>
    <n v="9.56"/>
    <x v="15"/>
    <n v="100"/>
  </r>
  <r>
    <s v="Vacation Isle Pkg Lot"/>
    <s v="1406 Vacation Rd Pkg"/>
    <s v="San Diego, CA 92109"/>
    <n v="92109"/>
    <s v="S"/>
    <n v="32.774025999999999"/>
    <n v="-117.234191"/>
    <s v="Pkg_Lot"/>
    <n v="1"/>
    <m/>
    <s v=""/>
    <n v="1"/>
    <m/>
    <n v="1"/>
    <n v="145000"/>
    <s v="Pkg_Lot"/>
    <s v="High"/>
    <n v="1015000"/>
    <n v="1015000"/>
    <m/>
    <m/>
    <x v="44"/>
    <n v="1.45"/>
    <n v="9.6999999999999993"/>
    <x v="15"/>
    <n v="100"/>
  </r>
  <r>
    <s v="SeaWorld San Diego"/>
    <s v="500 Sea World Dr"/>
    <s v="San Diego, CA 92109"/>
    <n v="92109"/>
    <s v="S"/>
    <n v="32.764809"/>
    <n v="-117.228319"/>
    <s v="Venue"/>
    <n v="1.5"/>
    <m/>
    <s v="Total"/>
    <n v="1.25"/>
    <m/>
    <n v="13"/>
    <m/>
    <m/>
    <m/>
    <n v="0"/>
    <n v="13972000"/>
    <m/>
    <m/>
    <x v="38"/>
    <m/>
    <m/>
    <x v="13"/>
    <m/>
  </r>
  <r>
    <s v="Hubbs Research Pkg"/>
    <s v="500 Sea World Dr"/>
    <s v="San Diego, CA 92109"/>
    <n v="92109"/>
    <s v="S"/>
    <n v="32.766886999999997"/>
    <n v="-117.23264899999999"/>
    <s v="Pkg_Lot"/>
    <n v="0.75"/>
    <m/>
    <s v=""/>
    <n v="0.75"/>
    <m/>
    <n v="0"/>
    <n v="145000"/>
    <s v="Pkg_Lot"/>
    <s v="High"/>
    <n v="1015000"/>
    <n v="0"/>
    <m/>
    <m/>
    <x v="45"/>
    <n v="1.5"/>
    <n v="10"/>
    <x v="16"/>
    <n v="0"/>
  </r>
  <r>
    <s v="SWSD Employee Pkg 1"/>
    <s v="500 Sea World Dr"/>
    <s v="San Diego, CA 92109"/>
    <n v="92109"/>
    <s v="S"/>
    <n v="32.765926"/>
    <n v="-117.231466"/>
    <s v="Pkg_Lot"/>
    <n v="0.75"/>
    <m/>
    <s v=""/>
    <n v="0.75"/>
    <m/>
    <n v="0"/>
    <n v="120000"/>
    <s v="Pkg_Lot"/>
    <s v="High"/>
    <n v="840000"/>
    <n v="0"/>
    <m/>
    <m/>
    <x v="45"/>
    <n v="1.5"/>
    <n v="10"/>
    <x v="16"/>
    <n v="0"/>
  </r>
  <r>
    <s v="SWSD Pkg Vis NW"/>
    <s v="500 Sea World Dr"/>
    <s v="San Diego, CA 92109"/>
    <n v="92109"/>
    <s v="S"/>
    <n v="32.763818999999998"/>
    <n v="-117.230935"/>
    <s v="Pkg_Lot"/>
    <n v="0.75"/>
    <m/>
    <s v=""/>
    <n v="0.75"/>
    <m/>
    <n v="0"/>
    <n v="40000"/>
    <s v="Pkg_Lot"/>
    <s v="High"/>
    <n v="280000"/>
    <n v="0"/>
    <m/>
    <m/>
    <x v="45"/>
    <n v="1.5"/>
    <n v="10"/>
    <x v="16"/>
    <n v="50"/>
  </r>
  <r>
    <s v="SWSD Pkg Vis SW"/>
    <s v="500 Sea World Dr"/>
    <s v="San Diego, CA 92109"/>
    <n v="92109"/>
    <s v="S"/>
    <n v="32.762625999999997"/>
    <n v="-117.230188"/>
    <s v="Pkg_Lot"/>
    <n v="0.75"/>
    <m/>
    <s v=""/>
    <n v="0.75"/>
    <m/>
    <n v="0"/>
    <n v="34000"/>
    <s v="Pkg_Lot"/>
    <s v="High"/>
    <n v="238000"/>
    <n v="0"/>
    <m/>
    <m/>
    <x v="84"/>
    <n v="1.46"/>
    <n v="9.75"/>
    <x v="21"/>
    <n v="50"/>
  </r>
  <r>
    <s v="SWSD Pkg Vis 1"/>
    <s v="500 Sea World Dr"/>
    <s v="San Diego, CA 92109"/>
    <n v="92109"/>
    <s v="S"/>
    <n v="32.763126"/>
    <n v="-117.22964399999999"/>
    <s v="Pkg_Lot"/>
    <n v="0.75"/>
    <m/>
    <s v=""/>
    <n v="0.75"/>
    <m/>
    <n v="0"/>
    <n v="80000"/>
    <s v="Pkg_Lot"/>
    <s v="High"/>
    <n v="560000"/>
    <n v="0"/>
    <m/>
    <m/>
    <x v="84"/>
    <n v="1.46"/>
    <n v="9.75"/>
    <x v="21"/>
    <n v="200"/>
  </r>
  <r>
    <s v="SWSD Pkg Vis 2"/>
    <s v="500 Sea World Dr"/>
    <s v="San Diego, CA 92109"/>
    <n v="92109"/>
    <s v="S"/>
    <n v="32.763050999999997"/>
    <n v="-117.22796200000001"/>
    <s v="Pkg_Lot"/>
    <n v="0.75"/>
    <m/>
    <s v=""/>
    <n v="0.75"/>
    <m/>
    <n v="0"/>
    <n v="220000"/>
    <s v="Pkg_Lot"/>
    <s v="High"/>
    <n v="1540000"/>
    <n v="0"/>
    <m/>
    <m/>
    <x v="84"/>
    <n v="1.46"/>
    <n v="9.75"/>
    <x v="21"/>
    <n v="200"/>
  </r>
  <r>
    <s v="SWSD Pkg Vis 3"/>
    <s v="500 Sea World Dr"/>
    <s v="San Diego, CA 92109"/>
    <n v="92109"/>
    <s v="S"/>
    <n v="32.762638000000003"/>
    <n v="-117.225311"/>
    <s v="Pkg_Lot"/>
    <n v="0.75"/>
    <m/>
    <s v=""/>
    <n v="0.75"/>
    <m/>
    <n v="0"/>
    <n v="357000"/>
    <s v="Pkg_Lot"/>
    <s v="High"/>
    <n v="2499000"/>
    <n v="0"/>
    <m/>
    <m/>
    <x v="84"/>
    <n v="1.46"/>
    <n v="9.75"/>
    <x v="21"/>
    <n v="200"/>
  </r>
  <r>
    <s v="SWSD Pkg Vis 4"/>
    <s v="500 Sea World Dr"/>
    <s v="San Diego, CA 92109"/>
    <n v="92109"/>
    <s v="S"/>
    <n v="32.762377000000001"/>
    <n v="-117.22248"/>
    <s v="Pkg_Lot"/>
    <n v="0.75"/>
    <m/>
    <s v=""/>
    <n v="0.75"/>
    <m/>
    <n v="0"/>
    <n v="380000"/>
    <s v="Pkg_Lot"/>
    <s v="High"/>
    <n v="2660000"/>
    <n v="0"/>
    <m/>
    <m/>
    <x v="84"/>
    <n v="1.46"/>
    <n v="9.75"/>
    <x v="21"/>
    <n v="200"/>
  </r>
  <r>
    <s v="SWSD Pkg Vis 5"/>
    <s v="500 Sea World Dr"/>
    <s v="San Diego, CA 92109"/>
    <n v="92109"/>
    <s v="S"/>
    <n v="32.762326999999999"/>
    <n v="-117.221355"/>
    <s v="Pkg_Lot"/>
    <n v="0.75"/>
    <m/>
    <s v=""/>
    <n v="0.75"/>
    <m/>
    <n v="0"/>
    <n v="310000"/>
    <s v="Pkg_Lot"/>
    <s v="High"/>
    <n v="2170000"/>
    <n v="0"/>
    <m/>
    <m/>
    <x v="84"/>
    <n v="1.46"/>
    <n v="9.75"/>
    <x v="21"/>
    <n v="200"/>
  </r>
  <r>
    <s v="SWSD Pkg Vis 6"/>
    <s v="500 Sea World Dr"/>
    <s v="San Diego, CA 92109"/>
    <n v="92109"/>
    <s v="S"/>
    <n v="32.762318"/>
    <n v="-117.220001"/>
    <s v="Pkg_Lot"/>
    <n v="0.75"/>
    <m/>
    <s v=""/>
    <n v="0.75"/>
    <m/>
    <n v="0"/>
    <n v="256000"/>
    <s v="Pkg_Lot"/>
    <s v="High"/>
    <n v="1792000"/>
    <n v="0"/>
    <m/>
    <m/>
    <x v="84"/>
    <n v="1.46"/>
    <n v="9.75"/>
    <x v="21"/>
    <n v="0"/>
  </r>
  <r>
    <s v="SWSD Pkg Vis 7"/>
    <s v="500 Sea World Dr"/>
    <s v="San Diego, CA 92109"/>
    <n v="92109"/>
    <s v="S"/>
    <n v="32.761799000000003"/>
    <n v="-117.218819"/>
    <s v="Pkg_Lot"/>
    <n v="0.75"/>
    <m/>
    <s v=""/>
    <n v="0.75"/>
    <m/>
    <n v="0"/>
    <n v="42000"/>
    <s v="Pkg_Lot"/>
    <s v="High"/>
    <n v="294000"/>
    <n v="0"/>
    <m/>
    <m/>
    <x v="84"/>
    <n v="1.46"/>
    <n v="9.75"/>
    <x v="21"/>
    <n v="0"/>
  </r>
  <r>
    <s v="SWSD Employee Pkg 2"/>
    <s v="500 Sea World Dr"/>
    <s v="San Diego, CA 92109"/>
    <n v="92109"/>
    <s v="S"/>
    <n v="32.764155000000002"/>
    <n v="-117.221553"/>
    <s v="Pkg_Lot"/>
    <n v="0.75"/>
    <m/>
    <s v=""/>
    <n v="0.75"/>
    <m/>
    <n v="0"/>
    <n v="12000"/>
    <s v="Pkg_Lot"/>
    <s v="High"/>
    <n v="84000"/>
    <n v="0"/>
    <m/>
    <m/>
    <x v="84"/>
    <n v="1.46"/>
    <n v="9.75"/>
    <x v="21"/>
    <n v="0"/>
  </r>
  <r>
    <s v="South Shores Park"/>
    <s v="S Shores Park Dy"/>
    <s v="San Diego, CA 92109"/>
    <n v="92109"/>
    <s v="S"/>
    <n v="32.764037000000002"/>
    <n v="-117.218448"/>
    <s v="Venue"/>
    <n v="1.5"/>
    <s v="Yellow"/>
    <s v="Total"/>
    <n v="1.25"/>
    <m/>
    <n v="3"/>
    <m/>
    <m/>
    <m/>
    <n v="0"/>
    <n v="2100000"/>
    <m/>
    <m/>
    <x v="84"/>
    <n v="1.46"/>
    <n v="9.75"/>
    <x v="21"/>
    <m/>
  </r>
  <r>
    <s v="S Shores Pkg 1"/>
    <s v="S Shores Park Dy"/>
    <s v="San Diego, CA 92109"/>
    <n v="92109"/>
    <s v="S"/>
    <n v="32.763415000000002"/>
    <n v="-117.21883099999999"/>
    <s v="Pkg_Lot"/>
    <n v="0.75"/>
    <m/>
    <s v=""/>
    <n v="0.75"/>
    <m/>
    <n v="0"/>
    <n v="145000"/>
    <s v="Pkg_Lot"/>
    <s v="High"/>
    <n v="1015000"/>
    <n v="0"/>
    <m/>
    <m/>
    <x v="84"/>
    <n v="1.46"/>
    <n v="9.75"/>
    <x v="21"/>
    <n v="100"/>
  </r>
  <r>
    <s v="S Shores Pkg 2"/>
    <s v="S Shores Park Dy"/>
    <s v="San Diego, CA 92109"/>
    <n v="92109"/>
    <s v="S"/>
    <n v="32.762583999999997"/>
    <n v="-117.217741"/>
    <s v="Pkg_Lot"/>
    <n v="0.75"/>
    <m/>
    <s v=""/>
    <n v="0.75"/>
    <m/>
    <n v="0"/>
    <n v="155000"/>
    <s v="Pkg_Lot"/>
    <s v="High"/>
    <n v="1085000"/>
    <n v="0"/>
    <m/>
    <m/>
    <x v="84"/>
    <n v="1.46"/>
    <n v="9.75"/>
    <x v="21"/>
    <n v="100"/>
  </r>
  <r>
    <s v="Sears Outlet"/>
    <s v="960 Sherman St"/>
    <s v="San Diego, CA 92110"/>
    <n v="92110"/>
    <s v="S"/>
    <n v="32.764906000000003"/>
    <n v="-117.200495"/>
    <s v="Roof_Flat"/>
    <n v="1"/>
    <m/>
    <s v=""/>
    <n v="1"/>
    <m/>
    <n v="1"/>
    <n v="170000"/>
    <s v="Roof_Flat"/>
    <s v="High"/>
    <n v="1190000"/>
    <n v="1190000"/>
    <m/>
    <m/>
    <x v="84"/>
    <n v="1.46"/>
    <n v="9.75"/>
    <x v="21"/>
    <m/>
  </r>
  <r>
    <s v="Caltrans Dist Off Pkg"/>
    <s v="4050 Taylor St"/>
    <s v="San Diego, CA 92110"/>
    <n v="92110"/>
    <s v="S"/>
    <n v="32.758465000000001"/>
    <n v="-117.19972799999999"/>
    <s v="Pkg_Lot"/>
    <n v="1"/>
    <m/>
    <s v=""/>
    <n v="1"/>
    <m/>
    <n v="1"/>
    <n v="200000"/>
    <s v="Pkg_Lot"/>
    <s v="High"/>
    <n v="1400000"/>
    <n v="1400000"/>
    <m/>
    <m/>
    <x v="85"/>
    <n v="1.5"/>
    <n v="9.98"/>
    <x v="21"/>
    <m/>
  </r>
  <r>
    <s v="Valley View Casino Center"/>
    <s v="3500 Sports Arena Blvd"/>
    <s v="San Diego, CA 92110"/>
    <n v="92110"/>
    <s v="S"/>
    <n v="32.755977000000001"/>
    <n v="-117.212121"/>
    <s v="Venue"/>
    <n v="1.5"/>
    <s v="Yellow"/>
    <s v="Total"/>
    <n v="1.25"/>
    <m/>
    <n v="6"/>
    <m/>
    <m/>
    <m/>
    <n v="0"/>
    <n v="5285000"/>
    <m/>
    <m/>
    <x v="38"/>
    <m/>
    <m/>
    <x v="13"/>
    <m/>
  </r>
  <r>
    <s v="VVCC Bldg"/>
    <s v="3500 Sports Arena Blvd"/>
    <s v="San Diego, CA 92110"/>
    <n v="92110"/>
    <s v="S"/>
    <n v="32.755080999999997"/>
    <n v="-117.212265"/>
    <s v="Roof_Flat"/>
    <n v="0.75"/>
    <m/>
    <s v=""/>
    <n v="0.75"/>
    <m/>
    <n v="0"/>
    <n v="95000"/>
    <s v="Roof_Flat"/>
    <s v="High"/>
    <n v="665000"/>
    <n v="0"/>
    <m/>
    <m/>
    <x v="84"/>
    <n v="1.46"/>
    <n v="9.75"/>
    <x v="21"/>
    <n v="0"/>
  </r>
  <r>
    <s v="VVCC Pkg 1"/>
    <s v="3500 Sports Arena Blvd"/>
    <s v="San Diego, CA 92110"/>
    <n v="92110"/>
    <s v="S"/>
    <n v="32.754601999999998"/>
    <n v="-117.21433"/>
    <s v="Pkg_Lot"/>
    <n v="0.75"/>
    <m/>
    <s v=""/>
    <n v="0.75"/>
    <m/>
    <n v="0"/>
    <n v="59000"/>
    <s v="Pkg_Lot"/>
    <s v="High"/>
    <n v="413000"/>
    <n v="0"/>
    <m/>
    <m/>
    <x v="86"/>
    <n v="1.49"/>
    <n v="9.9600000000000009"/>
    <x v="21"/>
    <n v="400"/>
  </r>
  <r>
    <s v="VVCC Pkg 2"/>
    <s v="3500 Sports Arena Blvd"/>
    <s v="San Diego, CA 92110"/>
    <n v="92110"/>
    <s v="S"/>
    <n v="32.755822000000002"/>
    <n v="-117.213746"/>
    <s v="Pkg_Lot"/>
    <n v="0.75"/>
    <m/>
    <s v=""/>
    <n v="0.75"/>
    <m/>
    <n v="0"/>
    <n v="268000"/>
    <s v="Pkg_Lot"/>
    <s v="High"/>
    <n v="1876000"/>
    <n v="0"/>
    <m/>
    <m/>
    <x v="86"/>
    <n v="1.49"/>
    <n v="9.9600000000000009"/>
    <x v="21"/>
    <n v="50"/>
  </r>
  <r>
    <s v="VVCC Pkg 3"/>
    <s v="3500 Sports Arena Blvd"/>
    <s v="San Diego, CA 92110"/>
    <n v="92110"/>
    <s v="S"/>
    <n v="32.756757999999998"/>
    <n v="-117.21225800000001"/>
    <s v="Pkg_Lot"/>
    <n v="0.75"/>
    <m/>
    <s v=""/>
    <n v="0.75"/>
    <m/>
    <n v="0"/>
    <n v="225000"/>
    <s v="Pkg_Lot"/>
    <s v="High"/>
    <n v="1575000"/>
    <n v="0"/>
    <m/>
    <m/>
    <x v="84"/>
    <n v="1.46"/>
    <n v="9.75"/>
    <x v="21"/>
    <n v="50"/>
  </r>
  <r>
    <s v="VVCC Pkg 4"/>
    <s v="3500 Sports Arena Blvd"/>
    <s v="San Diego, CA 92110"/>
    <n v="92110"/>
    <s v="S"/>
    <n v="32.754522999999999"/>
    <n v="-117.21032599999999"/>
    <s v="Pkg_Lot"/>
    <n v="0.75"/>
    <m/>
    <s v=""/>
    <n v="0.75"/>
    <m/>
    <n v="0"/>
    <n v="108000"/>
    <s v="Pkg_Lot"/>
    <s v="High"/>
    <n v="756000"/>
    <n v="0"/>
    <m/>
    <m/>
    <x v="86"/>
    <n v="1.49"/>
    <n v="9.9600000000000009"/>
    <x v="21"/>
    <n v="100"/>
  </r>
  <r>
    <s v="Naval SPAWAR OT3"/>
    <s v="4301 Pacific Hwy"/>
    <s v="San Diego, CA 92110"/>
    <n v="92110"/>
    <s v="S"/>
    <n v="32.748116000000003"/>
    <n v="-117.198357"/>
    <m/>
    <n v="1.5"/>
    <m/>
    <s v="Total"/>
    <n v="1.25"/>
    <m/>
    <n v="5"/>
    <m/>
    <m/>
    <m/>
    <n v="0"/>
    <n v="4284000"/>
    <m/>
    <m/>
    <x v="87"/>
    <n v="0.79"/>
    <n v="5.26"/>
    <x v="21"/>
    <m/>
  </r>
  <r>
    <s v="SPAWAR OT3 Roof 1"/>
    <s v="4301 Pacific Hwy"/>
    <s v="San Diego, CA 92110"/>
    <n v="92110"/>
    <s v="S"/>
    <n v="32.750905000000003"/>
    <n v="-117.198919"/>
    <m/>
    <n v="0.75"/>
    <m/>
    <s v=""/>
    <n v="0.75"/>
    <m/>
    <n v="0"/>
    <n v="306000"/>
    <s v="Roof_Flat"/>
    <s v="High"/>
    <n v="2142000"/>
    <n v="0"/>
    <m/>
    <m/>
    <x v="87"/>
    <n v="0.79"/>
    <n v="5.26"/>
    <x v="21"/>
    <n v="100"/>
  </r>
  <r>
    <s v="SPAWAR OT3 Roof 2"/>
    <s v="4301 Pacific Hwy"/>
    <s v="San Diego, CA 92110"/>
    <n v="92110"/>
    <s v="S"/>
    <n v="32.749299000000001"/>
    <n v="-117.198015"/>
    <m/>
    <n v="0.75"/>
    <m/>
    <s v=""/>
    <n v="0.75"/>
    <m/>
    <n v="0"/>
    <n v="148000"/>
    <s v="Roof_Flat"/>
    <s v="High"/>
    <n v="1036000"/>
    <n v="0"/>
    <m/>
    <m/>
    <x v="87"/>
    <n v="0.79"/>
    <n v="5.26"/>
    <x v="21"/>
    <n v="0"/>
  </r>
  <r>
    <s v="SPAWAR OT3 Roof 3"/>
    <s v="4301 Pacific Hwy"/>
    <s v="San Diego, CA 92110"/>
    <n v="92110"/>
    <s v="S"/>
    <n v="32.746581999999997"/>
    <n v="-117.195679"/>
    <m/>
    <n v="0.75"/>
    <m/>
    <s v=""/>
    <n v="0.75"/>
    <m/>
    <n v="0"/>
    <n v="158000"/>
    <s v="Roof_Flat"/>
    <s v="High"/>
    <n v="1106000"/>
    <n v="0"/>
    <m/>
    <m/>
    <x v="87"/>
    <n v="0.79"/>
    <n v="5.26"/>
    <x v="21"/>
    <n v="100"/>
  </r>
  <r>
    <s v="SPAWAR OT3 Existing"/>
    <s v="4301 Pacific Hwy"/>
    <s v="San Diego, CA 92110"/>
    <n v="92110"/>
    <s v="S"/>
    <n v="32.747919000000003"/>
    <n v="-117.19679499999999"/>
    <s v="Target"/>
    <n v="0.75"/>
    <s v="Red"/>
    <s v=""/>
    <n v="0.75"/>
    <m/>
    <n v="0"/>
    <m/>
    <s v="Existing"/>
    <m/>
    <n v="0"/>
    <n v="0"/>
    <m/>
    <m/>
    <x v="19"/>
    <m/>
    <m/>
    <x v="7"/>
    <m/>
  </r>
  <r>
    <s v="Wheelie University"/>
    <s v="2535 Midway Dr"/>
    <s v="San Diego, CA 92110"/>
    <n v="92110"/>
    <s v="S"/>
    <n v="32.745440000000002"/>
    <n v="-117.201849"/>
    <s v="Edu"/>
    <n v="1.5"/>
    <m/>
    <s v="Total"/>
    <n v="1.25"/>
    <m/>
    <n v="3"/>
    <m/>
    <m/>
    <m/>
    <n v="0"/>
    <n v="1183000"/>
    <m/>
    <m/>
    <x v="87"/>
    <n v="0.79"/>
    <n v="5.26"/>
    <x v="21"/>
    <m/>
  </r>
  <r>
    <s v="Wheelie University Roof"/>
    <s v="2535 Midway Dr"/>
    <s v="San Diego, CA 92110"/>
    <n v="92110"/>
    <s v="S"/>
    <n v="32.745713000000002"/>
    <n v="-117.202212"/>
    <s v="Roof_Flat"/>
    <n v="0.75"/>
    <m/>
    <s v=""/>
    <n v="0.75"/>
    <m/>
    <n v="0"/>
    <n v="59000"/>
    <s v="Roof_Flat"/>
    <s v="High"/>
    <n v="413000"/>
    <n v="0"/>
    <m/>
    <m/>
    <x v="87"/>
    <n v="0.79"/>
    <n v="5.26"/>
    <x v="21"/>
    <n v="0"/>
  </r>
  <r>
    <s v="Wheelie University Pkg Lot"/>
    <s v="2535 Midway Dr"/>
    <s v="San Diego, CA 92110"/>
    <n v="92110"/>
    <s v="S"/>
    <n v="32.744916000000003"/>
    <n v="-117.201362"/>
    <s v="Pkg_Lot"/>
    <n v="0.75"/>
    <m/>
    <s v=""/>
    <n v="0.75"/>
    <m/>
    <n v="0"/>
    <n v="110000"/>
    <s v="Pkg_Lot"/>
    <s v="High"/>
    <n v="770000"/>
    <n v="0"/>
    <m/>
    <m/>
    <x v="87"/>
    <n v="0.79"/>
    <n v="5.26"/>
    <x v="21"/>
    <n v="200"/>
  </r>
  <r>
    <s v="Sports Arena Square"/>
    <s v="3340 Sports Arena Blvd"/>
    <s v="San Diego, CA 92110"/>
    <n v="92110"/>
    <s v="S"/>
    <n v="32.752637999999997"/>
    <n v="-117.211669"/>
    <s v="Shopping"/>
    <n v="1.5"/>
    <m/>
    <s v="Total"/>
    <n v="1.25"/>
    <m/>
    <n v="12"/>
    <m/>
    <m/>
    <m/>
    <n v="0"/>
    <n v="6351000"/>
    <m/>
    <m/>
    <x v="38"/>
    <m/>
    <m/>
    <x v="16"/>
    <m/>
  </r>
  <r>
    <s v="SAS Home Depot"/>
    <s v="3340 Sports Arena Blvd"/>
    <s v="San Diego, CA 92110"/>
    <n v="92110"/>
    <s v="S"/>
    <n v="32.752153"/>
    <n v="-117.21369300000001"/>
    <s v="Roof_Flat"/>
    <n v="0.75"/>
    <m/>
    <s v=""/>
    <n v="0.75"/>
    <m/>
    <n v="0"/>
    <n v="107000"/>
    <s v="Roof_Flat"/>
    <s v="Low"/>
    <n v="535000"/>
    <n v="0"/>
    <m/>
    <m/>
    <x v="88"/>
    <n v="1.46"/>
    <n v="9.74"/>
    <x v="16"/>
    <n v="50"/>
  </r>
  <r>
    <s v="SAS Unknown Store"/>
    <s v="3340 Sports Arena Blvd"/>
    <s v="San Diego, CA 92110"/>
    <n v="92110"/>
    <s v="S"/>
    <n v="32.751832"/>
    <n v="-117.212264"/>
    <s v="Roof_Flat"/>
    <n v="0.75"/>
    <m/>
    <s v=""/>
    <n v="0.75"/>
    <m/>
    <n v="0"/>
    <n v="33000"/>
    <s v="Roof_Flat"/>
    <s v="Medium"/>
    <n v="198000"/>
    <n v="0"/>
    <m/>
    <m/>
    <x v="88"/>
    <n v="1.46"/>
    <n v="9.74"/>
    <x v="16"/>
    <n v="100"/>
  </r>
  <r>
    <s v="SAS Dick's Sporting"/>
    <s v="3340 Sports Arena Blvd"/>
    <s v="San Diego, CA 92110"/>
    <n v="92110"/>
    <s v="S"/>
    <n v="32.751677999999998"/>
    <n v="-117.21170100000001"/>
    <s v="Roof_Flat"/>
    <n v="0.75"/>
    <m/>
    <s v=""/>
    <n v="0.75"/>
    <m/>
    <n v="0"/>
    <n v="43000"/>
    <s v="Roof_Flat"/>
    <s v="Medium"/>
    <n v="258000"/>
    <n v="0"/>
    <m/>
    <m/>
    <x v="88"/>
    <n v="1.46"/>
    <n v="9.74"/>
    <x v="16"/>
    <n v="200"/>
  </r>
  <r>
    <s v="SAS Ralph's"/>
    <s v="3340 Sports Arena Blvd"/>
    <s v="San Diego, CA 92110"/>
    <n v="92110"/>
    <s v="S"/>
    <n v="32.751486"/>
    <n v="-117.211065"/>
    <s v="Roof_Flat"/>
    <n v="0.75"/>
    <m/>
    <s v=""/>
    <n v="0.75"/>
    <m/>
    <n v="0"/>
    <n v="61000"/>
    <s v="Roof_Flat"/>
    <s v="Medium"/>
    <n v="366000"/>
    <n v="0"/>
    <m/>
    <m/>
    <x v="88"/>
    <n v="1.46"/>
    <n v="9.74"/>
    <x v="16"/>
    <n v="300"/>
  </r>
  <r>
    <s v="SAS Target"/>
    <s v="3340 Sports Arena Blvd"/>
    <s v="San Diego, CA 92110"/>
    <n v="92110"/>
    <s v="S"/>
    <n v="32.751261999999997"/>
    <n v="-117.210016"/>
    <s v="Roof_Flat"/>
    <n v="0.75"/>
    <m/>
    <s v=""/>
    <n v="0.75"/>
    <m/>
    <n v="0"/>
    <n v="113000"/>
    <s v="Roof_Flat"/>
    <s v="High"/>
    <n v="791000"/>
    <n v="0"/>
    <m/>
    <m/>
    <x v="88"/>
    <n v="1.46"/>
    <n v="9.74"/>
    <x v="16"/>
    <n v="450"/>
  </r>
  <r>
    <s v="SAS Ross"/>
    <s v="3340 Sports Arena Blvd"/>
    <s v="San Diego, CA 92110"/>
    <n v="92110"/>
    <s v="S"/>
    <n v="32.751385999999997"/>
    <n v="-117.20828899999999"/>
    <s v="Roof_Flat"/>
    <n v="0.75"/>
    <m/>
    <s v=""/>
    <n v="0.75"/>
    <m/>
    <n v="0"/>
    <n v="14500"/>
    <s v="Roof_Flat"/>
    <s v="Medium"/>
    <n v="87000"/>
    <n v="0"/>
    <m/>
    <m/>
    <x v="89"/>
    <n v="1.29"/>
    <n v="8.6199999999999992"/>
    <x v="16"/>
    <n v="0"/>
  </r>
  <r>
    <s v="SAS Pkg 1"/>
    <s v="3340 Sports Arena Blvd"/>
    <s v="San Diego, CA 92110"/>
    <n v="92110"/>
    <s v="S"/>
    <n v="32.753041000000003"/>
    <n v="-117.212841"/>
    <s v="Pkg_Lot"/>
    <n v="0.75"/>
    <m/>
    <s v=""/>
    <n v="0.75"/>
    <m/>
    <n v="0"/>
    <n v="228000"/>
    <s v="Pkg_Lot"/>
    <s v="High"/>
    <n v="1596000"/>
    <n v="0"/>
    <m/>
    <m/>
    <x v="89"/>
    <n v="1.29"/>
    <n v="8.6199999999999992"/>
    <x v="16"/>
    <n v="150"/>
  </r>
  <r>
    <s v="SAS Pkg 2"/>
    <s v="3340 Sports Arena Blvd"/>
    <s v="San Diego, CA 92110"/>
    <n v="92110"/>
    <s v="S"/>
    <n v="32.752462999999999"/>
    <n v="-117.210756"/>
    <s v="Pkg_Lot"/>
    <n v="0.75"/>
    <m/>
    <s v=""/>
    <n v="0.75"/>
    <m/>
    <n v="0"/>
    <n v="168000"/>
    <s v="Pkg_Lot"/>
    <s v="High"/>
    <n v="1176000"/>
    <n v="0"/>
    <m/>
    <m/>
    <x v="89"/>
    <n v="1.29"/>
    <n v="8.6199999999999992"/>
    <x v="16"/>
    <n v="150"/>
  </r>
  <r>
    <s v="SAS Pkg 3"/>
    <s v="3340 Sports Arena Blvd"/>
    <s v="San Diego, CA 92110"/>
    <n v="92110"/>
    <s v="S"/>
    <n v="32.752305999999997"/>
    <n v="-117.209266"/>
    <s v="Pkg_Lot"/>
    <n v="0.75"/>
    <m/>
    <s v=""/>
    <n v="0.75"/>
    <m/>
    <n v="0"/>
    <n v="120000"/>
    <s v="Pkg_Lot"/>
    <s v="High"/>
    <n v="840000"/>
    <n v="0"/>
    <m/>
    <m/>
    <x v="89"/>
    <n v="1.29"/>
    <n v="8.6199999999999992"/>
    <x v="16"/>
    <n v="150"/>
  </r>
  <r>
    <s v="SAS Pkg 4"/>
    <s v="3340 Sports Arena Blvd"/>
    <s v="San Diego, CA 92110"/>
    <n v="92110"/>
    <s v="S"/>
    <n v="32.752395999999997"/>
    <n v="-117.20793"/>
    <s v="Pkg_Lot"/>
    <n v="0.75"/>
    <m/>
    <s v=""/>
    <n v="0.75"/>
    <m/>
    <n v="0"/>
    <n v="32000"/>
    <s v="Pkg_Lot"/>
    <s v="High"/>
    <n v="224000"/>
    <n v="0"/>
    <m/>
    <m/>
    <x v="89"/>
    <n v="1.29"/>
    <n v="8.6199999999999992"/>
    <x v="16"/>
    <n v="0"/>
  </r>
  <r>
    <s v="SAS Pkg 5"/>
    <s v="3340 Sports Arena Blvd"/>
    <s v="San Diego, CA 92110"/>
    <n v="92110"/>
    <s v="S"/>
    <n v="32.751888000000001"/>
    <n v="-117.20822800000001"/>
    <s v="Pkg_Lot"/>
    <n v="0.75"/>
    <m/>
    <s v=""/>
    <n v="0.75"/>
    <m/>
    <n v="0"/>
    <n v="40000"/>
    <s v="Pkg_Lot"/>
    <s v="High"/>
    <n v="280000"/>
    <n v="0"/>
    <m/>
    <m/>
    <x v="89"/>
    <n v="1.29"/>
    <n v="8.6199999999999992"/>
    <x v="16"/>
    <n v="0"/>
  </r>
  <r>
    <s v="Point Loma Plaza"/>
    <s v="3645 Midway Dr"/>
    <s v="San Diego, CA 92110"/>
    <n v="92110"/>
    <s v="S"/>
    <n v="32.752206999999999"/>
    <n v="-117.21705799999999"/>
    <s v="Shopping"/>
    <n v="1.5"/>
    <m/>
    <s v="Total"/>
    <n v="1.25"/>
    <m/>
    <n v="4"/>
    <m/>
    <m/>
    <m/>
    <n v="0"/>
    <n v="1260000"/>
    <m/>
    <m/>
    <x v="86"/>
    <n v="1.49"/>
    <n v="9.9600000000000009"/>
    <x v="21"/>
    <m/>
  </r>
  <r>
    <s v="Point Loma Plaza Pkg"/>
    <s v="3645 Midway Dr"/>
    <s v="San Diego, CA 92110"/>
    <n v="92110"/>
    <s v="S"/>
    <n v="32.751773"/>
    <n v="-117.217399"/>
    <s v="Pkg_Lot"/>
    <n v="0.75"/>
    <m/>
    <s v=""/>
    <n v="0.75"/>
    <m/>
    <n v="0"/>
    <n v="121000"/>
    <s v="Pkg_Lot"/>
    <s v="High"/>
    <n v="847000"/>
    <n v="0"/>
    <m/>
    <m/>
    <x v="86"/>
    <n v="1.49"/>
    <n v="9.9600000000000009"/>
    <x v="21"/>
    <n v="0"/>
  </r>
  <r>
    <s v="Point Loma Plaza Vons"/>
    <s v="3645 Midway Dr"/>
    <s v="San Diego, CA 92110"/>
    <n v="92110"/>
    <s v="S"/>
    <n v="32.751733999999999"/>
    <n v="-117.217454"/>
    <s v="Roof_Flat"/>
    <n v="0.75"/>
    <m/>
    <s v=""/>
    <n v="0.75"/>
    <m/>
    <n v="0"/>
    <n v="40000"/>
    <s v="Roof_Flat"/>
    <s v="High"/>
    <n v="280000"/>
    <n v="0"/>
    <m/>
    <m/>
    <x v="86"/>
    <n v="1.49"/>
    <n v="9.9600000000000009"/>
    <x v="21"/>
    <n v="0"/>
  </r>
  <r>
    <s v="Point Loma Plaza Marshalls"/>
    <s v="3645 Midway Dr"/>
    <s v="San Diego, CA 92110"/>
    <n v="92110"/>
    <s v="S"/>
    <n v="32.752307999999999"/>
    <n v="-117.21777899999999"/>
    <s v="Roof_Flat"/>
    <n v="0.75"/>
    <m/>
    <s v=""/>
    <n v="0.75"/>
    <m/>
    <n v="0"/>
    <n v="19000"/>
    <s v="Roof_Flat"/>
    <s v="High"/>
    <n v="133000"/>
    <n v="0"/>
    <m/>
    <m/>
    <x v="86"/>
    <n v="1.49"/>
    <n v="9.9600000000000009"/>
    <x v="21"/>
    <n v="100"/>
  </r>
  <r>
    <s v="Pkg near Walter Andersen Nursery"/>
    <s v="3642 Enterprise St"/>
    <s v="San Diego, CA 92110"/>
    <n v="92110"/>
    <s v="S"/>
    <n v="32.746865999999997"/>
    <n v="-117.19990300000001"/>
    <s v="Pkg_Lot"/>
    <n v="1"/>
    <m/>
    <s v=""/>
    <n v="1"/>
    <m/>
    <n v="1"/>
    <n v="314000"/>
    <s v="Pkg_Lot"/>
    <s v="High"/>
    <n v="2198000"/>
    <n v="2198000"/>
    <m/>
    <m/>
    <x v="85"/>
    <n v="1.5"/>
    <n v="9.98"/>
    <x v="21"/>
    <n v="150"/>
  </r>
  <r>
    <s v="Unknown Shopping Center"/>
    <s v="2495 Truxtun Rd"/>
    <s v="San Diego, CA 92106"/>
    <n v="92106"/>
    <s v="S"/>
    <n v="32.736705999999998"/>
    <n v="-117.215613"/>
    <s v="Shopping"/>
    <n v="1.5"/>
    <m/>
    <s v="Total"/>
    <n v="1.25"/>
    <m/>
    <n v="4"/>
    <m/>
    <m/>
    <m/>
    <n v="0"/>
    <n v="5306000"/>
    <m/>
    <m/>
    <x v="90"/>
    <n v="1.44"/>
    <n v="9.6199999999999992"/>
    <x v="16"/>
    <n v="0"/>
  </r>
  <r>
    <s v="Vons Pkg"/>
    <s v="2495 Truxtun Rd"/>
    <s v="San Diego, CA 92106"/>
    <n v="92106"/>
    <s v="S"/>
    <n v="32.737530999999997"/>
    <n v="-117.21697399999999"/>
    <s v="Pkg_Lot"/>
    <n v="0.75"/>
    <m/>
    <s v=""/>
    <n v="0.75"/>
    <m/>
    <n v="0"/>
    <n v="360000"/>
    <s v="Pkg_Lot"/>
    <s v="High"/>
    <n v="2520000"/>
    <n v="0"/>
    <m/>
    <m/>
    <x v="90"/>
    <n v="1.44"/>
    <n v="9.6199999999999992"/>
    <x v="16"/>
    <n v="0"/>
  </r>
  <r>
    <s v="Point Loma Sports Pkg"/>
    <s v="2495 Truxtun Rd"/>
    <s v="San Diego, CA 92106"/>
    <n v="92106"/>
    <s v="S"/>
    <n v="32.735537999999998"/>
    <n v="-117.214529"/>
    <s v="Pkg_Lot"/>
    <n v="0.75"/>
    <m/>
    <s v=""/>
    <n v="0.75"/>
    <m/>
    <n v="0"/>
    <n v="234000"/>
    <s v="Pkg_Lot"/>
    <s v="High"/>
    <n v="1638000"/>
    <n v="0"/>
    <m/>
    <m/>
    <x v="90"/>
    <n v="1.44"/>
    <n v="9.6199999999999992"/>
    <x v="16"/>
    <n v="0"/>
  </r>
  <r>
    <s v="Slaters Pkg"/>
    <s v="2495 Truxtun Rd"/>
    <s v="San Diego, CA 92106"/>
    <n v="92106"/>
    <s v="S"/>
    <n v="32.738633"/>
    <n v="-117.211275"/>
    <s v="Pkg_Lot"/>
    <n v="0.75"/>
    <m/>
    <s v=""/>
    <n v="0.75"/>
    <m/>
    <n v="0"/>
    <n v="164000"/>
    <s v="Pkg_Lot"/>
    <s v="High"/>
    <n v="1148000"/>
    <n v="0"/>
    <m/>
    <m/>
    <x v="90"/>
    <n v="1.44"/>
    <n v="9.6199999999999992"/>
    <x v="16"/>
    <n v="0"/>
  </r>
  <r>
    <s v="San Diego International Airport"/>
    <s v="3225 N Harbor Dr"/>
    <s v="San Diego, CA 92101"/>
    <n v="92101"/>
    <s v="S"/>
    <n v="32.733356999999998"/>
    <n v="-117.189132"/>
    <s v="Airport"/>
    <n v="1.5"/>
    <m/>
    <s v="Total"/>
    <n v="1.25"/>
    <m/>
    <n v="19"/>
    <m/>
    <m/>
    <m/>
    <n v="0"/>
    <n v="20916000"/>
    <m/>
    <m/>
    <x v="38"/>
    <m/>
    <m/>
    <x v="28"/>
    <m/>
  </r>
  <r>
    <s v="Near Pac Hwy"/>
    <s v="3225 N Harbor Dr"/>
    <s v="San Diego, CA 92101"/>
    <n v="92101"/>
    <s v="S"/>
    <n v="32.741655000000002"/>
    <n v="-117.188434"/>
    <s v="Target"/>
    <n v="0.75"/>
    <s v="Red"/>
    <s v=""/>
    <n v="0.75"/>
    <m/>
    <n v="0"/>
    <m/>
    <s v="Existing"/>
    <m/>
    <n v="0"/>
    <n v="0"/>
    <m/>
    <m/>
    <x v="19"/>
    <m/>
    <m/>
    <x v="28"/>
    <s v="-"/>
  </r>
  <r>
    <s v="SAN Pkg 1"/>
    <s v="3225 N Harbor Dr"/>
    <s v="San Diego, CA 92101"/>
    <n v="92101"/>
    <s v="S"/>
    <n v="32.738700999999999"/>
    <n v="-117.184425"/>
    <s v="Target"/>
    <n v="0.75"/>
    <s v="Red"/>
    <s v=""/>
    <n v="0.75"/>
    <m/>
    <n v="0"/>
    <m/>
    <s v="Existing"/>
    <m/>
    <n v="0"/>
    <n v="0"/>
    <m/>
    <m/>
    <x v="19"/>
    <m/>
    <m/>
    <x v="28"/>
    <s v="-"/>
  </r>
  <r>
    <s v="SAN Pkg 2"/>
    <s v="3225 N Harbor Dr"/>
    <s v="San Diego, CA 92101"/>
    <n v="92101"/>
    <s v="S"/>
    <n v="32.738053999999998"/>
    <n v="-117.183288"/>
    <s v="Pkg_Lot"/>
    <n v="0.75"/>
    <m/>
    <s v=""/>
    <n v="0.75"/>
    <m/>
    <n v="0"/>
    <n v="247000"/>
    <s v="Pkg_Lot"/>
    <s v="High"/>
    <n v="1729000"/>
    <n v="0"/>
    <m/>
    <m/>
    <x v="91"/>
    <n v="1.4"/>
    <n v="9.33"/>
    <x v="28"/>
    <n v="250"/>
  </r>
  <r>
    <s v="Near Car Rental Bldg"/>
    <s v="3225 N Harbor Dr"/>
    <s v="San Diego, CA 92101"/>
    <n v="92101"/>
    <s v="S"/>
    <n v="32.736666"/>
    <n v="-117.18259500000001"/>
    <s v="Pkg_Lot"/>
    <n v="0.75"/>
    <m/>
    <s v=""/>
    <n v="0.75"/>
    <m/>
    <n v="0"/>
    <n v="63000"/>
    <s v="Pkg_Lot"/>
    <s v="High"/>
    <n v="441000"/>
    <n v="0"/>
    <m/>
    <m/>
    <x v="91"/>
    <n v="1.4"/>
    <n v="9.33"/>
    <x v="28"/>
    <n v="250"/>
  </r>
  <r>
    <s v="Car Rental Roof"/>
    <s v="3225 N Harbor Dr"/>
    <s v="San Diego, CA 92101"/>
    <n v="92101"/>
    <s v="S"/>
    <n v="32.737155999999999"/>
    <n v="-117.181012"/>
    <s v="Pkg_Garage"/>
    <n v="0.75"/>
    <m/>
    <s v=""/>
    <n v="0.75"/>
    <m/>
    <n v="0"/>
    <n v="328000"/>
    <s v="Pkg_Garage"/>
    <s v="High"/>
    <n v="2296000"/>
    <n v="0"/>
    <m/>
    <m/>
    <x v="92"/>
    <n v="1.41"/>
    <n v="9.4"/>
    <x v="28"/>
    <n v="250"/>
  </r>
  <r>
    <s v="Aladdin Airport Parking"/>
    <s v="3225 N Harbor Dr"/>
    <s v="San Diego, CA 92101"/>
    <n v="92101"/>
    <s v="S"/>
    <n v="32.731074999999997"/>
    <n v="-117.172892"/>
    <s v="Pkg_Garage"/>
    <n v="0.75"/>
    <m/>
    <s v=""/>
    <n v="0.75"/>
    <m/>
    <n v="0"/>
    <n v="120000"/>
    <s v="Pkg_Garage"/>
    <s v="High"/>
    <n v="840000"/>
    <n v="0"/>
    <m/>
    <m/>
    <x v="92"/>
    <n v="1.41"/>
    <n v="9.4"/>
    <x v="28"/>
    <n v="100"/>
  </r>
  <r>
    <s v="Park n Go, Park N Fly"/>
    <s v="3225 N Harbor Dr"/>
    <s v="San Diego, CA 92101"/>
    <n v="92101"/>
    <s v="S"/>
    <n v="32.731183000000001"/>
    <n v="-117.174142"/>
    <s v="Pkg_Lot"/>
    <n v="0.75"/>
    <m/>
    <s v=""/>
    <n v="0.75"/>
    <m/>
    <n v="0"/>
    <n v="96000"/>
    <s v="Pkg_Lot"/>
    <s v="High"/>
    <n v="672000"/>
    <n v="0"/>
    <m/>
    <m/>
    <x v="92"/>
    <n v="1.41"/>
    <n v="9.4"/>
    <x v="28"/>
    <n v="100"/>
  </r>
  <r>
    <s v="SAN Pkg E End N-Pac Hwy"/>
    <s v="3225 N Harbor Dr"/>
    <s v="San Diego, CA 92101"/>
    <n v="92101"/>
    <s v="S"/>
    <n v="32.730955999999999"/>
    <n v="-117.17466899999999"/>
    <s v="Pkg_Lot"/>
    <n v="0.75"/>
    <m/>
    <s v=""/>
    <n v="0.75"/>
    <m/>
    <n v="0"/>
    <n v="80000"/>
    <s v="Pkg_Lot"/>
    <s v="High"/>
    <n v="560000"/>
    <n v="0"/>
    <m/>
    <m/>
    <x v="92"/>
    <n v="1.41"/>
    <n v="9.4"/>
    <x v="28"/>
    <n v="100"/>
  </r>
  <r>
    <s v="SAN Pkg E End S-W Laurel"/>
    <s v="3225 N Harbor Dr"/>
    <s v="San Diego, CA 92101"/>
    <n v="92101"/>
    <s v="S"/>
    <n v="32.728589999999997"/>
    <n v="-117.17711799999999"/>
    <s v="Pkg_Lot"/>
    <n v="0.75"/>
    <m/>
    <s v=""/>
    <n v="0.75"/>
    <m/>
    <n v="0"/>
    <n v="140000"/>
    <s v="Pkg_Lot"/>
    <s v="High"/>
    <n v="980000"/>
    <n v="0"/>
    <m/>
    <m/>
    <x v="92"/>
    <n v="1.41"/>
    <n v="9.4"/>
    <x v="28"/>
    <n v="100"/>
  </r>
  <r>
    <s v="Rental Car Rtn Pkg"/>
    <s v="3225 N Harbor Dr"/>
    <s v="San Diego, CA 92101"/>
    <n v="92101"/>
    <s v="S"/>
    <n v="32.728627000000003"/>
    <n v="-117.18277999999999"/>
    <s v="Pkg_Lot"/>
    <n v="0.75"/>
    <m/>
    <s v=""/>
    <n v="0.75"/>
    <m/>
    <n v="0"/>
    <n v="94000"/>
    <s v="Pkg_Lot"/>
    <s v="High"/>
    <n v="658000"/>
    <n v="0"/>
    <m/>
    <m/>
    <x v="93"/>
    <n v="1.5"/>
    <n v="10"/>
    <x v="28"/>
    <n v="100"/>
  </r>
  <r>
    <s v="SAN Long Term W"/>
    <s v="3225 N Harbor Dr"/>
    <s v="San Diego, CA 92101"/>
    <n v="92101"/>
    <s v="S"/>
    <n v="32.729925999999999"/>
    <n v="-117.188593"/>
    <s v="Pkg_Lot"/>
    <n v="0.75"/>
    <m/>
    <s v=""/>
    <n v="0.75"/>
    <m/>
    <n v="0"/>
    <n v="500000"/>
    <s v="Pkg_Lot"/>
    <s v="High"/>
    <n v="3500000"/>
    <n v="0"/>
    <m/>
    <m/>
    <x v="93"/>
    <n v="1.5"/>
    <n v="10"/>
    <x v="28"/>
    <n v="100"/>
  </r>
  <r>
    <s v="SAN Long Term E"/>
    <s v="3225 N Harbor Dr"/>
    <s v="San Diego, CA 92101"/>
    <n v="92101"/>
    <s v="S"/>
    <n v="32.729855000000001"/>
    <n v="-117.18576400000001"/>
    <s v="Pkg_Lot"/>
    <n v="0.75"/>
    <m/>
    <s v=""/>
    <n v="0.75"/>
    <m/>
    <n v="0"/>
    <n v="675000"/>
    <s v="Pkg_Lot"/>
    <s v="High"/>
    <n v="4725000"/>
    <n v="0"/>
    <m/>
    <m/>
    <x v="93"/>
    <n v="1.5"/>
    <n v="10"/>
    <x v="28"/>
    <n v="100"/>
  </r>
  <r>
    <s v="Commuter Terminal Pkg"/>
    <s v="3225 N Harbor Dr"/>
    <s v="San Diego, CA 92101"/>
    <n v="92101"/>
    <s v="S"/>
    <n v="32.729700000000001"/>
    <n v="-117.192055"/>
    <s v="Pkg_Lot"/>
    <n v="0.75"/>
    <m/>
    <s v=""/>
    <n v="0.75"/>
    <m/>
    <n v="0"/>
    <n v="77000"/>
    <s v="Pkg_Lot"/>
    <s v="High"/>
    <n v="539000"/>
    <n v="0"/>
    <m/>
    <m/>
    <x v="93"/>
    <n v="1.5"/>
    <n v="10"/>
    <x v="28"/>
    <n v="100"/>
  </r>
  <r>
    <s v="Air Cargo Pkg"/>
    <s v="3225 N Harbor Dr"/>
    <s v="San Diego, CA 92101"/>
    <n v="92101"/>
    <s v="S"/>
    <n v="32.730055"/>
    <n v="-117.194326"/>
    <s v="Pkg_Lot"/>
    <n v="0.75"/>
    <m/>
    <s v=""/>
    <n v="0.75"/>
    <m/>
    <n v="0"/>
    <n v="100000"/>
    <s v="Pkg_Lot"/>
    <s v="High"/>
    <n v="700000"/>
    <n v="0"/>
    <m/>
    <m/>
    <x v="93"/>
    <n v="1.5"/>
    <n v="10"/>
    <x v="28"/>
    <n v="100"/>
  </r>
  <r>
    <s v="Terminal 1 Pkg Lot"/>
    <s v="3225 N Harbor Dr"/>
    <s v="San Diego, CA 92101"/>
    <n v="92101"/>
    <s v="S"/>
    <n v="32.730615"/>
    <n v="-117.197406"/>
    <s v="Pkg_Lot"/>
    <n v="0.75"/>
    <m/>
    <s v=""/>
    <n v="0.75"/>
    <m/>
    <n v="0"/>
    <n v="468000"/>
    <s v="Pkg_Lot"/>
    <s v="High"/>
    <n v="3276000"/>
    <n v="0"/>
    <m/>
    <m/>
    <x v="93"/>
    <n v="1.5"/>
    <n v="10"/>
    <x v="28"/>
    <n v="200"/>
  </r>
  <r>
    <s v="Terminal 2 PV"/>
    <s v="3225 N Harbor Dr"/>
    <s v="San Diego, CA 92101"/>
    <n v="92101"/>
    <s v="S"/>
    <n v="32.731679"/>
    <n v="-117.20401"/>
    <s v="Target"/>
    <n v="0.75"/>
    <s v="Red"/>
    <s v=""/>
    <n v="0.75"/>
    <m/>
    <n v="0"/>
    <m/>
    <s v="Existing"/>
    <m/>
    <n v="0"/>
    <n v="0"/>
    <m/>
    <m/>
    <x v="19"/>
    <m/>
    <m/>
    <x v="28"/>
    <s v="-"/>
  </r>
  <r>
    <s v="Terminal 2 Construction"/>
    <s v="3225 N Harbor Dr"/>
    <s v="San Diego, CA 92101"/>
    <n v="92101"/>
    <s v="S"/>
    <n v="32.730280999999998"/>
    <n v="-117.20204"/>
    <s v="Info"/>
    <n v="0.75"/>
    <m/>
    <m/>
    <n v="0.75"/>
    <m/>
    <n v="0"/>
    <m/>
    <m/>
    <m/>
    <n v="0"/>
    <n v="0"/>
    <s v="GE shows construction"/>
    <m/>
    <x v="19"/>
    <m/>
    <m/>
    <x v="28"/>
    <s v="-"/>
  </r>
  <r>
    <s v="Terminal 2 Pkg PV"/>
    <s v="3225 N Harbor Dr"/>
    <s v="San Diego, CA 92101"/>
    <n v="92101"/>
    <s v="S"/>
    <n v="32.731155000000001"/>
    <n v="-117.206705"/>
    <s v="Target"/>
    <n v="0.75"/>
    <s v="Red"/>
    <m/>
    <n v="0.75"/>
    <m/>
    <n v="0"/>
    <m/>
    <s v="Existing"/>
    <m/>
    <n v="0"/>
    <n v="0"/>
    <m/>
    <m/>
    <x v="19"/>
    <m/>
    <m/>
    <x v="28"/>
    <s v="-"/>
  </r>
  <r>
    <s v="Balboa Park Zoo Pkg"/>
    <s v="2920 Zoo Dr"/>
    <s v="San Diego, CA 92101"/>
    <n v="92101"/>
    <s v="S"/>
    <n v="32.736876000000002"/>
    <n v="-117.14737700000001"/>
    <s v="Pkg_Lot"/>
    <n v="1"/>
    <m/>
    <m/>
    <n v="1"/>
    <m/>
    <n v="1"/>
    <n v="834000"/>
    <s v="Pkg_Lot"/>
    <s v="High"/>
    <n v="5838000"/>
    <n v="5838000"/>
    <s v="SDG&amp;E suspended ICA"/>
    <m/>
    <x v="94"/>
    <n v="1.41"/>
    <n v="9.39"/>
    <x v="29"/>
    <n v="0"/>
  </r>
  <r>
    <s v="Balboa Park Administration"/>
    <s v="2125 Park Blvd"/>
    <s v="San Diego, CA 92101"/>
    <n v="92101"/>
    <s v="S"/>
    <n v="32.725056000000002"/>
    <n v="-117.148696"/>
    <s v="Venue"/>
    <n v="1.5"/>
    <s v="Yellow"/>
    <m/>
    <n v="1.25"/>
    <m/>
    <n v="3"/>
    <m/>
    <m/>
    <m/>
    <n v="0"/>
    <n v="3045000"/>
    <m/>
    <m/>
    <x v="94"/>
    <n v="1.41"/>
    <n v="9.39"/>
    <x v="29"/>
    <m/>
  </r>
  <r>
    <s v="Balboa Park Administration Pkg 1"/>
    <s v="2125 Park Blvd"/>
    <s v="San Diego, CA 92101"/>
    <n v="92101"/>
    <s v="S"/>
    <n v="32.725968999999999"/>
    <n v="-117.149906"/>
    <s v="Pkg_Lot"/>
    <n v="0.75"/>
    <m/>
    <m/>
    <n v="0.75"/>
    <m/>
    <n v="0"/>
    <n v="108000"/>
    <s v="Pkg_Lot"/>
    <s v="High"/>
    <n v="756000"/>
    <n v="0"/>
    <m/>
    <m/>
    <x v="94"/>
    <n v="1.41"/>
    <n v="9.39"/>
    <x v="29"/>
    <n v="100"/>
  </r>
  <r>
    <s v="Balboa Park Administration Pkg 2"/>
    <s v="2125 Park Blvd"/>
    <s v="San Diego, CA 92101"/>
    <n v="92101"/>
    <s v="S"/>
    <n v="32.724414000000003"/>
    <n v="-117.15036000000001"/>
    <s v="Pkg_Lot"/>
    <n v="0.75"/>
    <m/>
    <m/>
    <n v="0.75"/>
    <m/>
    <n v="0"/>
    <n v="327000"/>
    <s v="Pkg_Lot"/>
    <s v="High"/>
    <n v="2289000"/>
    <n v="0"/>
    <m/>
    <m/>
    <x v="94"/>
    <n v="1.41"/>
    <n v="9.39"/>
    <x v="29"/>
    <n v="100"/>
  </r>
  <r>
    <s v="Navy Exchange"/>
    <s v="34800 Bob Wilson Dr"/>
    <s v="San Diego, CA 92134"/>
    <n v="92134"/>
    <s v="S"/>
    <n v="32.725524999999998"/>
    <n v="-117.146513"/>
    <s v="Hospital"/>
    <n v="1.5"/>
    <m/>
    <m/>
    <n v="1.25"/>
    <m/>
    <n v="4"/>
    <m/>
    <m/>
    <m/>
    <n v="0"/>
    <n v="1673000"/>
    <m/>
    <m/>
    <x v="95"/>
    <n v="0.88"/>
    <n v="5.87"/>
    <x v="29"/>
    <m/>
  </r>
  <r>
    <s v="Navy Exchange Pkg 1"/>
    <s v="34800 Bob Wilson Dr"/>
    <s v="San Diego, CA 92134"/>
    <n v="92134"/>
    <s v="S"/>
    <n v="32.724598"/>
    <n v="-117.14698799999999"/>
    <s v="Pkg_Garage"/>
    <n v="0.75"/>
    <m/>
    <m/>
    <n v="0.75"/>
    <m/>
    <n v="0"/>
    <n v="61000"/>
    <s v="Pkg_Garage"/>
    <s v="High"/>
    <n v="427000"/>
    <n v="0"/>
    <m/>
    <m/>
    <x v="95"/>
    <n v="0.88"/>
    <n v="5.87"/>
    <x v="29"/>
    <n v="0"/>
  </r>
  <r>
    <s v="Navy Exchange Pkg 2"/>
    <s v="34800 Bob Wilson Dr"/>
    <s v="San Diego, CA 92134"/>
    <n v="92134"/>
    <s v="S"/>
    <n v="32.724978"/>
    <n v="-117.145484"/>
    <s v="Pkg_Garage"/>
    <n v="0.75"/>
    <m/>
    <m/>
    <n v="0.75"/>
    <m/>
    <n v="0"/>
    <n v="78000"/>
    <s v="Pkg_Garage"/>
    <s v="High"/>
    <n v="546000"/>
    <n v="0"/>
    <m/>
    <m/>
    <x v="95"/>
    <n v="0.88"/>
    <n v="5.87"/>
    <x v="29"/>
    <n v="100"/>
  </r>
  <r>
    <s v="Navy Exchange Pkg 3"/>
    <s v="34800 Bob Wilson Dr"/>
    <s v="San Diego, CA 92134"/>
    <n v="92134"/>
    <s v="S"/>
    <n v="32.725982999999999"/>
    <n v="-117.144301"/>
    <s v="Pkg_Garage"/>
    <n v="0.75"/>
    <m/>
    <m/>
    <n v="0.75"/>
    <m/>
    <n v="0"/>
    <n v="100000"/>
    <s v="Pkg_Garage"/>
    <s v="High"/>
    <n v="700000"/>
    <n v="0"/>
    <m/>
    <m/>
    <x v="95"/>
    <n v="0.88"/>
    <n v="5.87"/>
    <x v="29"/>
    <n v="200"/>
  </r>
  <r>
    <s v="Navy Broadway Complex"/>
    <s v="889 W F St, San Diego"/>
    <s v="San Diego, CA 92101"/>
    <n v="92101"/>
    <s v="S"/>
    <n v="32.712691999999997"/>
    <n v="-117.17211399999999"/>
    <s v="Pkg_Lot"/>
    <n v="1"/>
    <m/>
    <m/>
    <n v="1"/>
    <m/>
    <n v="1"/>
    <n v="267000"/>
    <s v="Pkg_Lot"/>
    <s v="High"/>
    <n v="1869000"/>
    <n v="1869000"/>
    <m/>
    <m/>
    <x v="96"/>
    <n v="1.22"/>
    <n v="8.1199999999999992"/>
    <x v="30"/>
    <n v="0"/>
  </r>
  <r>
    <s v="Marina Park Way + FAL Pkg Lot"/>
    <s v="501 Convention Way"/>
    <s v="San Diego, CA 92101"/>
    <n v="92101"/>
    <s v="S"/>
    <n v="32.705623000000003"/>
    <n v="-117.163236"/>
    <s v="Venue"/>
    <n v="1.5"/>
    <s v="Yellow"/>
    <m/>
    <n v="1.25"/>
    <m/>
    <n v="3"/>
    <m/>
    <m/>
    <m/>
    <n v="0"/>
    <n v="1421000"/>
    <m/>
    <m/>
    <x v="97"/>
    <n v="1.59"/>
    <n v="10.6"/>
    <x v="31"/>
    <m/>
  </r>
  <r>
    <s v="Fal Pkg Lot"/>
    <s v="501 Convention Way"/>
    <s v="San Diego, CA 92101"/>
    <n v="92101"/>
    <s v="S"/>
    <n v="32.705241000000001"/>
    <n v="-117.162362"/>
    <s v="Pkg_Lot"/>
    <n v="0.75"/>
    <m/>
    <m/>
    <n v="0.75"/>
    <m/>
    <n v="0"/>
    <n v="76000"/>
    <s v="Pkg_Lot"/>
    <s v="High"/>
    <n v="532000"/>
    <n v="0"/>
    <m/>
    <m/>
    <x v="97"/>
    <n v="1.59"/>
    <n v="10.6"/>
    <x v="31"/>
    <n v="0"/>
  </r>
  <r>
    <s v="Marina Park Way Pkg Lot"/>
    <s v="501 Convention Way"/>
    <s v="San Diego, CA 92101"/>
    <n v="92101"/>
    <s v="S"/>
    <n v="32.704208000000001"/>
    <n v="-117.16418400000001"/>
    <s v="Pkg_Lot"/>
    <n v="0.75"/>
    <m/>
    <m/>
    <n v="0.75"/>
    <m/>
    <n v="0"/>
    <n v="127000"/>
    <s v="Pkg_Lot"/>
    <s v="High"/>
    <n v="889000"/>
    <n v="0"/>
    <m/>
    <m/>
    <x v="97"/>
    <n v="1.59"/>
    <n v="10.6"/>
    <x v="31"/>
    <n v="0"/>
  </r>
  <r>
    <s v="San Diego Convention Ctr"/>
    <s v="111 W Harbor Dr"/>
    <s v="San Diego, CA 92101"/>
    <n v="92101"/>
    <s v="S"/>
    <n v="32.706367"/>
    <n v="-117.162205"/>
    <s v="Venue"/>
    <n v="1.5"/>
    <s v="Yellow"/>
    <m/>
    <n v="1.25"/>
    <m/>
    <n v="3"/>
    <m/>
    <m/>
    <m/>
    <n v="0"/>
    <n v="1001000"/>
    <m/>
    <m/>
    <x v="98"/>
    <n v="1.49"/>
    <n v="9.9600000000000009"/>
    <x v="29"/>
    <m/>
  </r>
  <r>
    <s v="SD Conv Ctr Roof NW"/>
    <s v="111 W Harbor Dr"/>
    <s v="San Diego, CA 92101"/>
    <n v="92101"/>
    <s v="S"/>
    <n v="32.707635000000003"/>
    <n v="-117.163822"/>
    <s v="Roof_Flat"/>
    <n v="0.75"/>
    <m/>
    <m/>
    <n v="0.75"/>
    <m/>
    <n v="0"/>
    <n v="47000"/>
    <s v="Roof_Flat"/>
    <s v="High"/>
    <n v="329000"/>
    <n v="0"/>
    <m/>
    <m/>
    <x v="98"/>
    <n v="1.49"/>
    <n v="9.9600000000000009"/>
    <x v="29"/>
    <n v="200"/>
  </r>
  <r>
    <s v="SD Conv Ctr Roof SE"/>
    <s v="111 W Harbor Dr"/>
    <s v="San Diego, CA 92101"/>
    <n v="92101"/>
    <s v="S"/>
    <n v="32.705190000000002"/>
    <n v="-117.16080700000001"/>
    <s v="Roof_Flat"/>
    <n v="0.75"/>
    <m/>
    <m/>
    <n v="0.75"/>
    <m/>
    <n v="0"/>
    <n v="96000"/>
    <s v="Roof_Flat"/>
    <s v="High"/>
    <n v="672000"/>
    <n v="0"/>
    <m/>
    <m/>
    <x v="98"/>
    <n v="1.49"/>
    <n v="9.9600000000000009"/>
    <x v="29"/>
    <n v="200"/>
  </r>
  <r>
    <s v="Marine Inspection &amp;amp; Logistics"/>
    <s v="644 Switzer St"/>
    <s v="San Diego, CA 92101"/>
    <n v="92101"/>
    <s v="S"/>
    <n v="32.700586000000001"/>
    <n v="-117.15733400000001"/>
    <s v="Roof_Flat"/>
    <n v="1"/>
    <m/>
    <m/>
    <n v="1"/>
    <m/>
    <n v="1"/>
    <n v="289000"/>
    <s v="Roof_Flat"/>
    <s v="High"/>
    <n v="2023000"/>
    <n v="2023000"/>
    <m/>
    <m/>
    <x v="97"/>
    <n v="1.59"/>
    <n v="10.6"/>
    <x v="31"/>
    <n v="50"/>
  </r>
  <r>
    <s v="Next to Marine Inspection"/>
    <s v="644(SE) Switzer St"/>
    <s v="San Diego, CA 92101"/>
    <n v="92101"/>
    <s v="S"/>
    <n v="32.698497000000003"/>
    <n v="-117.15502600000001"/>
    <s v="Roof_Flat"/>
    <n v="1"/>
    <m/>
    <m/>
    <n v="1"/>
    <m/>
    <n v="1"/>
    <n v="288000"/>
    <s v="Roof_Flat"/>
    <s v="High"/>
    <n v="2016000"/>
    <n v="2016000"/>
    <m/>
    <m/>
    <x v="97"/>
    <n v="1.59"/>
    <n v="10.6"/>
    <x v="31"/>
    <n v="100"/>
  </r>
  <r>
    <s v="Tailgate Padres Pkg Lot"/>
    <s v="K St &amp;amp; 12th Ave"/>
    <s v="San Diego, CA 92101"/>
    <n v="92101"/>
    <s v="S"/>
    <n v="32.707366999999998"/>
    <n v="-117.153131"/>
    <s v="Pkg_Lot"/>
    <n v="1"/>
    <m/>
    <m/>
    <n v="1"/>
    <m/>
    <n v="1"/>
    <n v="327000"/>
    <s v="Pkg_Lot"/>
    <s v="High"/>
    <n v="2289000"/>
    <n v="2289000"/>
    <m/>
    <m/>
    <x v="99"/>
    <n v="1.48"/>
    <n v="9.84"/>
    <x v="31"/>
    <n v="100"/>
  </r>
  <r>
    <s v="San Diego BNSF"/>
    <s v="1342 Cesar E. Chavez Pkwy"/>
    <s v="San Diego, CA 92113"/>
    <n v="92113"/>
    <s v="S"/>
    <n v="32.698762000000002"/>
    <n v="-117.149944"/>
    <s v="Pkg_Lot"/>
    <n v="1"/>
    <m/>
    <m/>
    <n v="1"/>
    <m/>
    <n v="1"/>
    <n v="263000"/>
    <s v="Pkg_Lot"/>
    <s v="High"/>
    <n v="1841000"/>
    <n v="1841000"/>
    <m/>
    <m/>
    <x v="97"/>
    <n v="1.59"/>
    <n v="10.6"/>
    <x v="31"/>
    <n v="0"/>
  </r>
  <r>
    <s v="City Operations Yard"/>
    <s v="Caminito Center"/>
    <s v="San Diego, CA 92102"/>
    <n v="92102"/>
    <s v="S"/>
    <n v="32.720480000000002"/>
    <n v="-117.14438"/>
    <s v="Pkg_Lot"/>
    <n v="1"/>
    <m/>
    <m/>
    <n v="1"/>
    <m/>
    <n v="1"/>
    <n v="169000"/>
    <s v="Pkg_Lot"/>
    <s v="High"/>
    <n v="1183000"/>
    <n v="1183000"/>
    <m/>
    <m/>
    <x v="94"/>
    <n v="1.41"/>
    <n v="9.39"/>
    <x v="29"/>
    <n v="0"/>
  </r>
  <r>
    <s v="Coca-Cola Bottling Co"/>
    <s v="1348 47th St"/>
    <s v="San Diego, CA 92102"/>
    <n v="92102"/>
    <s v="S"/>
    <n v="32.720106999999999"/>
    <n v="-117.094765"/>
    <s v="Biz"/>
    <n v="1.5"/>
    <m/>
    <m/>
    <n v="1.25"/>
    <m/>
    <n v="4"/>
    <m/>
    <m/>
    <m/>
    <n v="0"/>
    <n v="1512000"/>
    <m/>
    <m/>
    <x v="100"/>
    <n v="0.47"/>
    <n v="3.12"/>
    <x v="25"/>
    <n v="400"/>
  </r>
  <r>
    <s v="Coca-Cola Bldg 1"/>
    <s v="1348 47th St"/>
    <s v="San Diego, CA 92102"/>
    <n v="92102"/>
    <s v="S"/>
    <n v="32.719706000000002"/>
    <n v="-117.096276"/>
    <s v="Roof_Flat"/>
    <n v="0.75"/>
    <m/>
    <m/>
    <n v="0.75"/>
    <m/>
    <n v="0"/>
    <n v="24000"/>
    <s v="Roof_Flat"/>
    <s v="High"/>
    <n v="168000"/>
    <n v="0"/>
    <m/>
    <m/>
    <x v="100"/>
    <n v="0.47"/>
    <n v="3.12"/>
    <x v="25"/>
    <n v="400"/>
  </r>
  <r>
    <s v="Coca-Cola Bldg 2"/>
    <s v="1348 47th St"/>
    <s v="San Diego, CA 92102"/>
    <n v="92102"/>
    <s v="S"/>
    <n v="32.719895999999999"/>
    <n v="-117.09523299999999"/>
    <s v="Roof_Flat"/>
    <n v="0.75"/>
    <m/>
    <s v=""/>
    <n v="0.75"/>
    <m/>
    <n v="0"/>
    <n v="61000"/>
    <s v="Roof_Flat"/>
    <s v="High"/>
    <n v="427000"/>
    <n v="0"/>
    <m/>
    <m/>
    <x v="100"/>
    <n v="0.47"/>
    <n v="3.12"/>
    <x v="25"/>
    <n v="400"/>
  </r>
  <r>
    <s v="Coca-Cola Bldg 3"/>
    <s v="1348 47th St"/>
    <s v="San Diego, CA 92102"/>
    <n v="92102"/>
    <s v="S"/>
    <n v="32.720846000000002"/>
    <n v="-117.094628"/>
    <s v="Roof_Flat"/>
    <n v="0.75"/>
    <m/>
    <s v=""/>
    <n v="0.75"/>
    <m/>
    <n v="0"/>
    <n v="131000"/>
    <s v="Roof_Flat"/>
    <s v="High"/>
    <n v="917000"/>
    <n v="0"/>
    <m/>
    <m/>
    <x v="100"/>
    <n v="0.47"/>
    <n v="3.12"/>
    <x v="25"/>
    <n v="400"/>
  </r>
  <r>
    <s v="Costco"/>
    <s v="650 Gateway Center Dr"/>
    <s v="San Diego, CA 92102"/>
    <n v="92102"/>
    <s v="S"/>
    <n v="32.712986000000001"/>
    <n v="-117.116226"/>
    <s v="Shopping"/>
    <n v="1.5"/>
    <m/>
    <m/>
    <n v="1.25"/>
    <m/>
    <n v="5"/>
    <m/>
    <m/>
    <m/>
    <n v="0"/>
    <n v="1044400"/>
    <s v="SDG&amp;E suspended ICA"/>
    <n v="81"/>
    <x v="101"/>
    <n v="1.37"/>
    <n v="9.11"/>
    <x v="32"/>
    <m/>
  </r>
  <r>
    <s v="Costco Bldg"/>
    <s v="650 Gateway Center Dr"/>
    <s v="San Diego, CA 92102"/>
    <n v="92102"/>
    <s v="S"/>
    <n v="32.712730200000003"/>
    <n v="-117.1164948"/>
    <s v="Target"/>
    <n v="0.75"/>
    <s v="Red"/>
    <s v=""/>
    <n v="0.75"/>
    <m/>
    <n v="0"/>
    <m/>
    <s v="Existing"/>
    <m/>
    <n v="0"/>
    <n v="0"/>
    <m/>
    <n v="81"/>
    <x v="101"/>
    <n v="1.37"/>
    <n v="9.11"/>
    <x v="32"/>
    <n v="0"/>
  </r>
  <r>
    <s v="Costco Pkg 1"/>
    <s v="650 Gateway Center Dr"/>
    <s v="San Diego, CA 92102"/>
    <n v="92102"/>
    <s v="S"/>
    <n v="32.712653000000003"/>
    <n v="-117.11523200000001"/>
    <s v="Pkg_Lot"/>
    <n v="0.75"/>
    <m/>
    <m/>
    <n v="0.75"/>
    <m/>
    <n v="0"/>
    <n v="87700"/>
    <s v="Pkg_Lot"/>
    <s v="High"/>
    <n v="613900"/>
    <n v="0"/>
    <m/>
    <n v="81"/>
    <x v="101"/>
    <n v="1.37"/>
    <n v="9.11"/>
    <x v="32"/>
    <n v="100"/>
  </r>
  <r>
    <s v="Costco Pkg 2"/>
    <s v="650 Gateway Center Dr"/>
    <s v="San Diego, CA 92102"/>
    <n v="92102"/>
    <s v="S"/>
    <n v="32.712009999999999"/>
    <n v="-117.116527"/>
    <s v="Pkg_Lot"/>
    <n v="0.75"/>
    <m/>
    <m/>
    <n v="0.75"/>
    <m/>
    <n v="0"/>
    <n v="48500"/>
    <s v="Pkg_Lot"/>
    <s v="High"/>
    <n v="339500"/>
    <n v="0"/>
    <m/>
    <n v="81"/>
    <x v="101"/>
    <n v="1.37"/>
    <n v="9.11"/>
    <x v="32"/>
    <n v="200"/>
  </r>
  <r>
    <s v="Costco Pkg 3"/>
    <s v="650 Gateway Center Dr"/>
    <s v="San Diego, CA 92102"/>
    <n v="92102"/>
    <s v="S"/>
    <n v="32.712890999999999"/>
    <n v="-117.117513"/>
    <s v="Pkg_Lot"/>
    <n v="0.75"/>
    <m/>
    <m/>
    <n v="0.75"/>
    <m/>
    <n v="0"/>
    <n v="13000"/>
    <s v="Pkg_Lot"/>
    <s v="High"/>
    <n v="91000"/>
    <n v="0"/>
    <m/>
    <n v="81"/>
    <x v="101"/>
    <n v="1.37"/>
    <n v="9.11"/>
    <x v="32"/>
    <n v="300"/>
  </r>
  <r>
    <s v="Imperial Marketplace"/>
    <s v="255-265 Marketplace Ave."/>
    <s v="San Diego, CA 92113"/>
    <n v="92113"/>
    <s v="S"/>
    <n v="32.703055999999997"/>
    <n v="-117.10203799999999"/>
    <s v="Shopping"/>
    <n v="1.5"/>
    <m/>
    <s v="Total"/>
    <n v="1.25"/>
    <m/>
    <n v="6"/>
    <m/>
    <m/>
    <m/>
    <n v="0"/>
    <n v="2459500"/>
    <m/>
    <n v="86"/>
    <x v="102"/>
    <n v="1.33"/>
    <n v="8.8699999999999992"/>
    <x v="33"/>
    <n v="0"/>
  </r>
  <r>
    <s v="Home Depot"/>
    <s v="255-265 Marketplace Ave."/>
    <s v="San Diego, CA 92113"/>
    <n v="92113"/>
    <s v="S"/>
    <n v="32.701953400000001"/>
    <n v="-117.1014315"/>
    <s v="Roof_Flat"/>
    <n v="0.75"/>
    <m/>
    <s v=""/>
    <n v="0.75"/>
    <m/>
    <n v="0"/>
    <n v="106000"/>
    <s v="Roof_Flat"/>
    <s v="High"/>
    <n v="742000"/>
    <n v="0"/>
    <m/>
    <n v="86"/>
    <x v="102"/>
    <n v="1.33"/>
    <n v="8.8699999999999992"/>
    <x v="33"/>
    <n v="0"/>
  </r>
  <r>
    <s v="99 Cent Store"/>
    <s v="255-265 Marketplace Ave."/>
    <s v="San Diego, CA 92113"/>
    <n v="92113"/>
    <s v="S"/>
    <n v="32.702936999999999"/>
    <n v="-117.100059"/>
    <s v="Roof_Flat"/>
    <n v="0.75"/>
    <m/>
    <s v=""/>
    <n v="0.75"/>
    <m/>
    <n v="0"/>
    <n v="18500"/>
    <s v="Roof_Flat"/>
    <s v="Medium"/>
    <n v="111000"/>
    <n v="0"/>
    <m/>
    <n v="86"/>
    <x v="102"/>
    <n v="1.33"/>
    <n v="8.8699999999999992"/>
    <x v="33"/>
    <n v="0"/>
  </r>
  <r>
    <s v="Imp Mkt Pkg 1"/>
    <s v="255-265 Marketplace Ave."/>
    <s v="San Diego, CA 92113"/>
    <n v="92113"/>
    <s v="S"/>
    <n v="32.703322999999997"/>
    <n v="-117.10076100000001"/>
    <s v="Pkg_Lot"/>
    <n v="0.75"/>
    <m/>
    <s v=""/>
    <n v="0.75"/>
    <m/>
    <n v="0"/>
    <n v="38500"/>
    <s v="Pkg_Lot"/>
    <s v="High"/>
    <n v="269500"/>
    <n v="0"/>
    <m/>
    <n v="86"/>
    <x v="102"/>
    <n v="1.33"/>
    <n v="8.8699999999999992"/>
    <x v="33"/>
    <n v="0"/>
  </r>
  <r>
    <s v="Imp Mkt Pkg 2"/>
    <s v="255-265 Marketplace Ave."/>
    <s v="San Diego, CA 92113"/>
    <n v="92113"/>
    <s v="S"/>
    <n v="32.702694999999999"/>
    <n v="-117.10099700000001"/>
    <s v="Pkg_Lot"/>
    <n v="0.75"/>
    <m/>
    <s v=""/>
    <n v="0.75"/>
    <m/>
    <n v="0"/>
    <n v="148000"/>
    <s v="Pkg_Lot"/>
    <s v="High"/>
    <n v="1036000"/>
    <n v="0"/>
    <m/>
    <n v="86"/>
    <x v="102"/>
    <n v="1.33"/>
    <n v="8.8699999999999992"/>
    <x v="33"/>
    <n v="0"/>
  </r>
  <r>
    <s v="Imp Mkt Pkg 3"/>
    <s v="255-265 Marketplace Ave."/>
    <s v="San Diego, CA 92113"/>
    <n v="92113"/>
    <s v="S"/>
    <n v="32.703186000000002"/>
    <n v="-117.102699"/>
    <s v="Pkg_Lot"/>
    <n v="0.75"/>
    <m/>
    <s v=""/>
    <n v="0.75"/>
    <m/>
    <n v="0"/>
    <n v="43000"/>
    <s v="Pkg_Lot"/>
    <s v="High"/>
    <n v="301000"/>
    <n v="0"/>
    <m/>
    <n v="86"/>
    <x v="102"/>
    <n v="1.33"/>
    <n v="8.8699999999999992"/>
    <x v="33"/>
    <n v="0"/>
  </r>
  <r>
    <s v="Yara North America"/>
    <s v="1770 Thor St"/>
    <s v="San Diego, CA 92113"/>
    <n v="92113"/>
    <s v="S"/>
    <n v="32.689281999999999"/>
    <n v="-117.118798"/>
    <s v="Roof_Flat"/>
    <n v="1"/>
    <m/>
    <s v=""/>
    <n v="1"/>
    <m/>
    <n v="1"/>
    <n v="127000"/>
    <s v="Roof_Flat"/>
    <s v="High"/>
    <n v="889000"/>
    <n v="889000"/>
    <m/>
    <n v="96"/>
    <x v="103"/>
    <n v="1.35"/>
    <n v="9.02"/>
    <x v="31"/>
    <n v="0"/>
  </r>
  <r>
    <s v="BAE Systems Lot 11"/>
    <s v="Sicard St &amp;amp; Main St"/>
    <s v="San Diego, CA 92113"/>
    <n v="92113"/>
    <s v="S"/>
    <n v="32.694197000000003"/>
    <n v="-117.14035199999999"/>
    <s v="Pkg_Lot"/>
    <n v="1"/>
    <m/>
    <m/>
    <n v="1"/>
    <m/>
    <n v="1"/>
    <n v="216000"/>
    <s v="Pkg_Lot"/>
    <s v="High"/>
    <n v="1512000"/>
    <n v="1512000"/>
    <m/>
    <n v="96"/>
    <x v="103"/>
    <n v="1.35"/>
    <n v="9.02"/>
    <x v="31"/>
    <n v="50"/>
  </r>
  <r>
    <s v="SDT Harborside Station"/>
    <s v="E Harbor Dr &amp;amp; S 28th St"/>
    <s v="San Diego, CA 92113"/>
    <n v="92113"/>
    <s v="S"/>
    <n v="32.691198"/>
    <n v="-117.132746"/>
    <s v="Train"/>
    <n v="1.5"/>
    <m/>
    <s v="Total"/>
    <n v="1.25"/>
    <m/>
    <n v="14"/>
    <m/>
    <m/>
    <m/>
    <n v="0"/>
    <n v="2586500"/>
    <s v="CES3 proximity estimate"/>
    <n v="86"/>
    <x v="38"/>
    <m/>
    <m/>
    <x v="31"/>
    <m/>
  </r>
  <r>
    <s v="SDTHS Pkg 1"/>
    <s v="E Harbor Dr &amp;amp; S 28th St"/>
    <s v="San Diego, CA 92113"/>
    <n v="92113"/>
    <s v="S"/>
    <n v="32.692402999999999"/>
    <n v="-117.138362"/>
    <s v="Pkg_Lot"/>
    <n v="0.75"/>
    <m/>
    <s v=""/>
    <n v="0.75"/>
    <m/>
    <n v="0"/>
    <n v="20500"/>
    <s v="Pkg_Lot"/>
    <s v="High"/>
    <n v="143500"/>
    <n v="0"/>
    <m/>
    <n v="96"/>
    <x v="104"/>
    <n v="1.44"/>
    <n v="9.66"/>
    <x v="31"/>
    <n v="50"/>
  </r>
  <r>
    <s v="SDTHS Pkg 2"/>
    <s v="E Harbor Dr &amp;amp; S 28th St"/>
    <s v="San Diego, CA 92113"/>
    <n v="92113"/>
    <s v="S"/>
    <n v="32.691980000000001"/>
    <n v="-117.13703"/>
    <s v="Pkg_Lot"/>
    <n v="0.75"/>
    <m/>
    <s v=""/>
    <n v="0.75"/>
    <m/>
    <n v="0"/>
    <n v="26000"/>
    <s v="Pkg_Lot"/>
    <s v="High"/>
    <n v="182000"/>
    <n v="0"/>
    <m/>
    <n v="96"/>
    <x v="104"/>
    <n v="1.44"/>
    <n v="9.66"/>
    <x v="31"/>
    <n v="100"/>
  </r>
  <r>
    <s v="SDTHS Pkg 3"/>
    <s v="E Harbor Dr &amp;amp; S 28th St"/>
    <s v="San Diego, CA 92113"/>
    <n v="92113"/>
    <s v="S"/>
    <n v="32.691723000000003"/>
    <n v="-117.134998"/>
    <s v="Pkg_Lot"/>
    <n v="0.75"/>
    <m/>
    <s v=""/>
    <n v="0.75"/>
    <m/>
    <n v="0"/>
    <n v="33000"/>
    <s v="Pkg_Lot"/>
    <s v="High"/>
    <n v="231000"/>
    <n v="0"/>
    <m/>
    <n v="96"/>
    <x v="105"/>
    <n v="1.5"/>
    <n v="10"/>
    <x v="31"/>
    <n v="150"/>
  </r>
  <r>
    <s v="SDTHS Pkg 4"/>
    <s v="E Harbor Dr &amp;amp; S 28th St"/>
    <s v="San Diego, CA 92113"/>
    <n v="92113"/>
    <s v="S"/>
    <n v="32.691541000000001"/>
    <n v="-117.13538800000001"/>
    <s v="Pkg_Lot"/>
    <n v="0.75"/>
    <m/>
    <s v=""/>
    <n v="0.75"/>
    <m/>
    <n v="0"/>
    <n v="37000"/>
    <s v="Pkg_Lot"/>
    <s v="High"/>
    <n v="259000"/>
    <n v="0"/>
    <m/>
    <n v="96"/>
    <x v="105"/>
    <n v="1.5"/>
    <n v="10"/>
    <x v="31"/>
    <n v="200"/>
  </r>
  <r>
    <s v="SDTHS Pkg 5"/>
    <s v="E Harbor Dr &amp;amp; S 28th St"/>
    <s v="San Diego, CA 92113"/>
    <n v="92113"/>
    <s v="S"/>
    <n v="32.691029"/>
    <n v="-117.132065"/>
    <s v="Pkg_Lot"/>
    <n v="0.75"/>
    <m/>
    <s v=""/>
    <n v="0.75"/>
    <m/>
    <n v="0"/>
    <n v="22000"/>
    <s v="Pkg_Lot"/>
    <s v="High"/>
    <n v="154000"/>
    <n v="0"/>
    <s v="CES3 proximity estimate"/>
    <n v="86"/>
    <x v="105"/>
    <n v="1.5"/>
    <n v="10"/>
    <x v="31"/>
    <n v="250"/>
  </r>
  <r>
    <s v="SDTHS Pkg 6"/>
    <s v="E Harbor Dr &amp;amp; S 28th St"/>
    <s v="San Diego, CA 92113"/>
    <n v="92113"/>
    <s v="S"/>
    <n v="32.689881"/>
    <n v="-117.130157"/>
    <s v="Pkg_Lot"/>
    <n v="0.75"/>
    <m/>
    <s v=""/>
    <n v="0.75"/>
    <m/>
    <n v="0"/>
    <n v="28000"/>
    <s v="Pkg_Lot"/>
    <s v="High"/>
    <n v="196000"/>
    <n v="0"/>
    <s v="CES3 proximity estimate"/>
    <n v="86"/>
    <x v="105"/>
    <n v="1.5"/>
    <n v="10"/>
    <x v="31"/>
    <n v="250"/>
  </r>
  <r>
    <s v="SDTHS Pkg 7"/>
    <s v="E Harbor Dr &amp;amp; S 28th St"/>
    <s v="San Diego, CA 92113"/>
    <n v="92113"/>
    <s v="S"/>
    <n v="32.688696"/>
    <n v="-117.12845"/>
    <s v="Pkg_Lot"/>
    <n v="0.75"/>
    <m/>
    <s v=""/>
    <n v="0.75"/>
    <m/>
    <n v="0"/>
    <n v="20500"/>
    <s v="Pkg_Lot"/>
    <s v="High"/>
    <n v="143500"/>
    <n v="0"/>
    <s v="CES3 proximity estimate"/>
    <n v="86"/>
    <x v="105"/>
    <n v="1.5"/>
    <n v="10"/>
    <x v="31"/>
    <n v="250"/>
  </r>
  <r>
    <s v="SDTHS Pkg 8"/>
    <s v="E Harbor Dr &amp;amp; S 28th St"/>
    <s v="San Diego, CA 92113"/>
    <n v="92113"/>
    <s v="S"/>
    <n v="32.690835"/>
    <n v="-117.13224700000001"/>
    <s v="Pkg_Lot"/>
    <n v="0.75"/>
    <m/>
    <s v=""/>
    <n v="0.75"/>
    <m/>
    <n v="0"/>
    <n v="39000"/>
    <s v="Pkg_Lot"/>
    <s v="High"/>
    <n v="273000"/>
    <n v="0"/>
    <s v="CES3 proximity estimate"/>
    <n v="86"/>
    <x v="105"/>
    <n v="1.5"/>
    <n v="10"/>
    <x v="31"/>
    <n v="200"/>
  </r>
  <r>
    <s v="SDTHS Pkg 9"/>
    <s v="E Harbor Dr &amp;amp; S 28th St"/>
    <s v="San Diego, CA 92113"/>
    <n v="92113"/>
    <s v="S"/>
    <n v="32.689489999999999"/>
    <n v="-117.13004599999999"/>
    <s v="Pkg_Lot"/>
    <n v="0.75"/>
    <m/>
    <s v=""/>
    <n v="0.75"/>
    <m/>
    <n v="0"/>
    <n v="29000"/>
    <s v="Pkg_Lot"/>
    <s v="High"/>
    <n v="203000"/>
    <n v="0"/>
    <s v="CES3 proximity estimate"/>
    <n v="86"/>
    <x v="105"/>
    <n v="1.5"/>
    <n v="10"/>
    <x v="31"/>
    <n v="200"/>
  </r>
  <r>
    <s v="SDTHS Pkg 10"/>
    <s v="E Harbor Dr &amp;amp; S 28th St"/>
    <s v="San Diego, CA 92113"/>
    <n v="92113"/>
    <s v="S"/>
    <n v="32.688425000000002"/>
    <n v="-117.128528"/>
    <s v="Pkg_Lot"/>
    <n v="0.75"/>
    <m/>
    <s v=""/>
    <n v="0.75"/>
    <m/>
    <n v="0"/>
    <n v="30500"/>
    <s v="Pkg_Lot"/>
    <s v="High"/>
    <n v="213500"/>
    <n v="0"/>
    <s v="CES3 proximity estimate"/>
    <n v="86"/>
    <x v="105"/>
    <n v="1.5"/>
    <n v="10"/>
    <x v="31"/>
    <n v="200"/>
  </r>
  <r>
    <s v="SDTHS Pkg 11"/>
    <s v="E Harbor Dr &amp;amp; S 28th St"/>
    <s v="San Diego, CA 92113"/>
    <n v="92113"/>
    <s v="S"/>
    <n v="32.690705000000001"/>
    <n v="-117.132507"/>
    <s v="Pkg_Lot"/>
    <n v="0.75"/>
    <m/>
    <s v=""/>
    <n v="0.75"/>
    <m/>
    <n v="0"/>
    <n v="29000"/>
    <s v="Pkg_Lot"/>
    <s v="High"/>
    <n v="203000"/>
    <n v="0"/>
    <s v="CES3 proximity estimate"/>
    <n v="86"/>
    <x v="105"/>
    <n v="1.5"/>
    <n v="10"/>
    <x v="31"/>
    <n v="150"/>
  </r>
  <r>
    <s v="SDTHS Pkg 12"/>
    <s v="E Harbor Dr &amp;amp; S 28th St"/>
    <s v="San Diego, CA 92113"/>
    <n v="92113"/>
    <s v="S"/>
    <n v="32.689517000000002"/>
    <n v="-117.13050200000001"/>
    <s v="Pkg_Lot"/>
    <n v="0.75"/>
    <m/>
    <s v=""/>
    <n v="0.75"/>
    <m/>
    <n v="0"/>
    <n v="37000"/>
    <s v="Pkg_Lot"/>
    <s v="High"/>
    <n v="259000"/>
    <n v="0"/>
    <s v="CES3 proximity estimate"/>
    <n v="86"/>
    <x v="105"/>
    <n v="1.5"/>
    <n v="10"/>
    <x v="31"/>
    <n v="150"/>
  </r>
  <r>
    <s v="SDTHS Pkg 13"/>
    <s v="E Harbor Dr &amp;amp; S 28th St"/>
    <s v="San Diego, CA 92113"/>
    <n v="92113"/>
    <s v="S"/>
    <n v="32.688391000000003"/>
    <n v="-117.128873"/>
    <s v="Pkg_Lot"/>
    <n v="0.75"/>
    <m/>
    <s v=""/>
    <n v="0.75"/>
    <m/>
    <n v="0"/>
    <n v="18000"/>
    <s v="Pkg_Lot"/>
    <s v="High"/>
    <n v="126000"/>
    <n v="0"/>
    <s v="CES3 proximity estimate"/>
    <n v="86"/>
    <x v="105"/>
    <n v="1.5"/>
    <n v="10"/>
    <x v="31"/>
    <n v="150"/>
  </r>
  <r>
    <s v="San Diego NB Commissary Shopping Ctr"/>
    <s v="3629, 2525 Callagan Hwy"/>
    <s v="San Diego, CA 92113"/>
    <n v="92113"/>
    <s v="S"/>
    <n v="32.690739000000001"/>
    <n v="-117.127978"/>
    <s v="Shopping"/>
    <n v="1.5"/>
    <m/>
    <s v="Total"/>
    <n v="1.25"/>
    <m/>
    <n v="9"/>
    <m/>
    <m/>
    <m/>
    <n v="0"/>
    <n v="3996000"/>
    <s v="CES3 proximity estimate"/>
    <n v="86"/>
    <x v="104"/>
    <n v="1.44"/>
    <n v="9.66"/>
    <x v="31"/>
    <m/>
  </r>
  <r>
    <s v="San Diego NB Commissary"/>
    <s v="3629, 2525 Callagan Hwy"/>
    <s v="San Diego, CA 92113"/>
    <n v="92113"/>
    <s v="S"/>
    <n v="32.690928"/>
    <n v="-117.13021500000001"/>
    <s v="Roof_Flat"/>
    <n v="0.75"/>
    <m/>
    <s v=""/>
    <n v="0.75"/>
    <m/>
    <n v="0"/>
    <n v="117000"/>
    <s v="Roof_Flat"/>
    <s v="Medium"/>
    <n v="702000"/>
    <n v="0"/>
    <s v="CES3 proximity estimate"/>
    <n v="86"/>
    <x v="104"/>
    <n v="1.44"/>
    <n v="9.66"/>
    <x v="31"/>
    <n v="50"/>
  </r>
  <r>
    <s v="SDNBC Unk Bldg"/>
    <s v="3629, 2525 Callagan Hwy"/>
    <s v="San Diego, CA 92113"/>
    <n v="92113"/>
    <s v="S"/>
    <n v="32.689326999999999"/>
    <n v="-117.12792899999999"/>
    <s v="Roof_Flat"/>
    <n v="0.75"/>
    <m/>
    <s v=""/>
    <n v="0.75"/>
    <m/>
    <n v="0"/>
    <n v="59000"/>
    <s v="Roof_Flat"/>
    <s v="Medium"/>
    <n v="354000"/>
    <n v="0"/>
    <s v="CES3 proximity estimate"/>
    <n v="86"/>
    <x v="104"/>
    <n v="1.44"/>
    <n v="9.66"/>
    <x v="31"/>
    <n v="100"/>
  </r>
  <r>
    <s v="SDNBC Navy Exchg"/>
    <s v="3629, 2525 Callagan Hwy"/>
    <s v="San Diego, CA 92113"/>
    <n v="92113"/>
    <s v="S"/>
    <n v="32.689422999999998"/>
    <n v="-117.12660099999999"/>
    <s v="Roof_Flat"/>
    <n v="0.75"/>
    <m/>
    <s v=""/>
    <n v="0.75"/>
    <m/>
    <n v="0"/>
    <n v="42000"/>
    <s v="Roof_Flat"/>
    <s v="High"/>
    <n v="294000"/>
    <n v="0"/>
    <s v="CES3 proximity estimate"/>
    <n v="86"/>
    <x v="104"/>
    <n v="1.44"/>
    <n v="9.66"/>
    <x v="31"/>
    <n v="200"/>
  </r>
  <r>
    <s v="SDNBC Pkg 1"/>
    <s v="3629, 2525 Callagan Hwy"/>
    <s v="San Diego, CA 92113"/>
    <n v="92113"/>
    <s v="S"/>
    <n v="32.691136"/>
    <n v="-117.128775"/>
    <s v="Pkg_Lot"/>
    <n v="0.75"/>
    <m/>
    <s v=""/>
    <n v="0.75"/>
    <m/>
    <n v="0"/>
    <n v="55000"/>
    <s v="Pkg_Lot"/>
    <s v="High"/>
    <n v="385000"/>
    <n v="0"/>
    <s v="CES3 proximity estimate"/>
    <n v="86"/>
    <x v="104"/>
    <n v="1.44"/>
    <n v="9.66"/>
    <x v="31"/>
    <n v="50"/>
  </r>
  <r>
    <s v="SDNBC Pkg 2"/>
    <s v="3629, 2525 Callagan Hwy"/>
    <s v="San Diego, CA 92113"/>
    <n v="92113"/>
    <s v="S"/>
    <n v="32.691172000000002"/>
    <n v="-117.12770500000001"/>
    <s v="Pkg_Lot"/>
    <n v="0.75"/>
    <m/>
    <s v=""/>
    <n v="0.75"/>
    <m/>
    <n v="0"/>
    <n v="28000"/>
    <s v="Pkg_Lot"/>
    <s v="High"/>
    <n v="196000"/>
    <n v="0"/>
    <s v="CES3 proximity estimate"/>
    <n v="86"/>
    <x v="104"/>
    <n v="1.44"/>
    <n v="9.66"/>
    <x v="31"/>
    <n v="0"/>
  </r>
  <r>
    <s v="SDNBC Pkg 3"/>
    <s v="3629, 2525 Callagan Hwy"/>
    <s v="San Diego, CA 92113"/>
    <n v="92113"/>
    <s v="S"/>
    <n v="32.690469999999998"/>
    <n v="-117.128674"/>
    <s v="Pkg_Lot"/>
    <n v="0.75"/>
    <m/>
    <s v=""/>
    <n v="0.75"/>
    <m/>
    <n v="0"/>
    <n v="81000"/>
    <s v="Pkg_Lot"/>
    <s v="High"/>
    <n v="567000"/>
    <n v="0"/>
    <s v="CES3 proximity estimate"/>
    <n v="86"/>
    <x v="104"/>
    <n v="1.44"/>
    <n v="9.66"/>
    <x v="31"/>
    <n v="0"/>
  </r>
  <r>
    <s v="SDNBC Pkg 4"/>
    <s v="3629, 2525 Callagan Hwy"/>
    <s v="San Diego, CA 92113"/>
    <n v="92113"/>
    <s v="S"/>
    <n v="32.690286999999998"/>
    <n v="-117.12687699999999"/>
    <s v="Pkg_Lot"/>
    <n v="0.75"/>
    <m/>
    <s v=""/>
    <n v="0.75"/>
    <m/>
    <n v="0"/>
    <n v="148000"/>
    <s v="Pkg_Lot"/>
    <s v="High"/>
    <n v="1036000"/>
    <n v="0"/>
    <s v="CES3 proximity estimate"/>
    <n v="86"/>
    <x v="104"/>
    <n v="1.44"/>
    <n v="9.66"/>
    <x v="31"/>
    <n v="0"/>
  </r>
  <r>
    <s v="SDNBC Pkg 5"/>
    <s v="3629, 2525 Callagan Hwy"/>
    <s v="San Diego, CA 92113"/>
    <n v="92113"/>
    <s v="S"/>
    <n v="32.688611000000002"/>
    <n v="-117.12747400000001"/>
    <s v="Pkg_Lot"/>
    <n v="0.75"/>
    <m/>
    <s v=""/>
    <n v="0.75"/>
    <m/>
    <n v="0"/>
    <n v="66000"/>
    <s v="Pkg_Lot"/>
    <s v="High"/>
    <n v="462000"/>
    <n v="0"/>
    <s v="CES3 proximity estimate"/>
    <n v="86"/>
    <x v="104"/>
    <n v="1.44"/>
    <n v="9.66"/>
    <x v="31"/>
    <n v="250"/>
  </r>
  <r>
    <s v="Bldg Cluster incl Bldg 291, NAVFAC"/>
    <s v="Near 3670 Surface Navy Blvd"/>
    <s v="San Diego, CA 92136"/>
    <n v="92136"/>
    <s v="S"/>
    <n v="32.683087"/>
    <n v="-117.123952"/>
    <s v="Biz"/>
    <n v="1.5"/>
    <m/>
    <s v="Total"/>
    <n v="1.25"/>
    <m/>
    <n v="6"/>
    <m/>
    <m/>
    <m/>
    <n v="0"/>
    <n v="3666600"/>
    <s v="CES3 proximity estimate"/>
    <n v="86"/>
    <x v="19"/>
    <m/>
    <m/>
    <x v="7"/>
    <m/>
  </r>
  <r>
    <s v="Bldg 291 Pkg 1"/>
    <s v="Near 3670 Surface Navy Blvd"/>
    <s v="San Diego, CA 92136"/>
    <n v="92136"/>
    <s v="S"/>
    <n v="32.684182"/>
    <n v="-117.12456899999999"/>
    <s v="Pkg_Lot"/>
    <n v="0.75"/>
    <m/>
    <s v=""/>
    <n v="0.75"/>
    <m/>
    <n v="0"/>
    <n v="107000"/>
    <s v="Pkg_Lot"/>
    <s v="High"/>
    <n v="749000"/>
    <n v="0"/>
    <s v="CES3 proximity estimate"/>
    <n v="86"/>
    <x v="106"/>
    <n v="1.5"/>
    <n v="10"/>
    <x v="34"/>
    <n v="0"/>
  </r>
  <r>
    <s v="Bldg 291 Pkg 2"/>
    <s v="Near 3670 Surface Navy Blvd"/>
    <s v="San Diego, CA 92136"/>
    <n v="92136"/>
    <s v="S"/>
    <n v="32.683508000000003"/>
    <n v="-117.123586"/>
    <s v="Pkg_Lot"/>
    <n v="0.75"/>
    <m/>
    <s v=""/>
    <n v="0.75"/>
    <m/>
    <n v="0"/>
    <n v="47500"/>
    <s v="Pkg_Lot"/>
    <s v="High"/>
    <n v="332500"/>
    <n v="0"/>
    <s v="CES3 proximity estimate"/>
    <n v="86"/>
    <x v="106"/>
    <n v="1.5"/>
    <n v="10"/>
    <x v="34"/>
    <n v="200"/>
  </r>
  <r>
    <s v="Bldg 291 Pkg 3"/>
    <s v="Near 3670 Surface Navy Blvd"/>
    <s v="San Diego, CA 92136"/>
    <n v="92136"/>
    <s v="S"/>
    <n v="32.682710999999998"/>
    <n v="-117.124425"/>
    <s v="Pkg_Lot"/>
    <n v="0.75"/>
    <m/>
    <s v=""/>
    <n v="0.75"/>
    <m/>
    <n v="0"/>
    <n v="24300"/>
    <s v="Pkg_Lot"/>
    <s v="High"/>
    <n v="170100"/>
    <n v="0"/>
    <s v="CES3 proximity estimate"/>
    <n v="86"/>
    <x v="106"/>
    <n v="1.5"/>
    <n v="10"/>
    <x v="34"/>
    <n v="500"/>
  </r>
  <r>
    <s v="Bldg 291 Pkg 4"/>
    <s v="Near 3670 Surface Navy Blvd"/>
    <s v="San Diego, CA 92136"/>
    <n v="92136"/>
    <s v="S"/>
    <n v="32.682285999999998"/>
    <n v="-117.12228899999999"/>
    <s v="Pkg_Lot"/>
    <n v="0.75"/>
    <m/>
    <s v=""/>
    <n v="0.75"/>
    <m/>
    <n v="0"/>
    <n v="240000"/>
    <s v="Pkg_Lot"/>
    <s v="High"/>
    <n v="1680000"/>
    <n v="0"/>
    <s v="CES3 proximity estimate"/>
    <n v="86"/>
    <x v="106"/>
    <n v="1.5"/>
    <n v="10"/>
    <x v="34"/>
    <n v="100"/>
  </r>
  <r>
    <s v="Bldg 291 Pkg 5"/>
    <s v="Near 3670 Surface Navy Blvd"/>
    <s v="San Diego, CA 92136"/>
    <n v="92136"/>
    <s v="S"/>
    <n v="32.681719000000001"/>
    <n v="-117.12338699999999"/>
    <s v="Pkg_Lot"/>
    <n v="0.75"/>
    <m/>
    <s v=""/>
    <n v="0.75"/>
    <m/>
    <n v="0"/>
    <n v="105000"/>
    <s v="Pkg_Lot"/>
    <s v="High"/>
    <n v="735000"/>
    <n v="0"/>
    <s v="CES3 proximity estimate"/>
    <n v="86"/>
    <x v="106"/>
    <n v="1.5"/>
    <n v="10"/>
    <x v="34"/>
    <n v="550"/>
  </r>
  <r>
    <s v="Unknown Bldg "/>
    <s v="Brinser St"/>
    <s v="San Diego, CA 92136"/>
    <n v="92136"/>
    <s v="S"/>
    <n v="32.683427999999999"/>
    <n v="-117.12703999999999"/>
    <s v="Target"/>
    <n v="1"/>
    <s v="Red"/>
    <s v=""/>
    <n v="1"/>
    <m/>
    <n v="1"/>
    <m/>
    <s v="Existing"/>
    <m/>
    <n v="0"/>
    <n v="0"/>
    <m/>
    <m/>
    <x v="19"/>
    <m/>
    <m/>
    <x v="7"/>
    <s v="-"/>
  </r>
  <r>
    <s v="Southland Plaza Shopping Center"/>
    <s v="655 Saturn Blvd"/>
    <s v="San Diego, CA 92154"/>
    <n v="92154"/>
    <s v="S"/>
    <n v="32.585816999999999"/>
    <n v="-117.09045999999999"/>
    <s v="Shopping"/>
    <n v="1.5"/>
    <m/>
    <s v="Total"/>
    <n v="1.25"/>
    <m/>
    <n v="9"/>
    <m/>
    <m/>
    <m/>
    <n v="0"/>
    <n v="3591000"/>
    <m/>
    <m/>
    <x v="107"/>
    <n v="1.4"/>
    <n v="9.33"/>
    <x v="35"/>
    <m/>
  </r>
  <r>
    <s v="Home Depot"/>
    <s v="655 Saturn Blvd"/>
    <s v="San Diego, CA 92154"/>
    <n v="92154"/>
    <s v="S"/>
    <n v="32.586970000000001"/>
    <n v="-117.091691"/>
    <s v="Roof_Flat"/>
    <n v="0.75"/>
    <m/>
    <s v=""/>
    <n v="0.75"/>
    <m/>
    <n v="0"/>
    <n v="109000"/>
    <s v="Roof_Flat"/>
    <s v="High"/>
    <n v="763000"/>
    <n v="0"/>
    <m/>
    <m/>
    <x v="107"/>
    <n v="1.4"/>
    <n v="9.33"/>
    <x v="35"/>
    <n v="0"/>
  </r>
  <r>
    <s v="Walmart"/>
    <s v="655 Saturn Blvd"/>
    <s v="San Diego, CA 92154"/>
    <n v="92154"/>
    <s v="S"/>
    <n v="32.586930000000002"/>
    <n v="-117.089246"/>
    <s v="Roof_Flat"/>
    <n v="0.75"/>
    <m/>
    <s v=""/>
    <n v="0.75"/>
    <m/>
    <n v="0"/>
    <n v="66000"/>
    <s v="Roof_Flat"/>
    <s v="Low"/>
    <n v="330000"/>
    <n v="0"/>
    <m/>
    <m/>
    <x v="107"/>
    <n v="1.4"/>
    <n v="9.33"/>
    <x v="35"/>
    <n v="0"/>
  </r>
  <r>
    <s v="Vons"/>
    <s v="655 Saturn Blvd"/>
    <s v="San Diego, CA 92154"/>
    <n v="92154"/>
    <s v="S"/>
    <n v="32.584778"/>
    <n v="-117.09013"/>
    <s v="Roof_Flat"/>
    <n v="0.75"/>
    <m/>
    <s v=""/>
    <n v="0.75"/>
    <m/>
    <n v="0"/>
    <n v="33000"/>
    <s v="Roof_Flat"/>
    <s v="Medium"/>
    <n v="198000"/>
    <n v="0"/>
    <m/>
    <m/>
    <x v="107"/>
    <n v="1.4"/>
    <n v="9.33"/>
    <x v="35"/>
    <n v="0"/>
  </r>
  <r>
    <s v="CVS"/>
    <s v="655 Saturn Blvd"/>
    <s v="San Diego, CA 92154"/>
    <n v="92154"/>
    <s v="S"/>
    <n v="32.584570999999997"/>
    <n v="-117.09136100000001"/>
    <s v="Roof_Flat"/>
    <n v="0.75"/>
    <m/>
    <s v=""/>
    <n v="0.75"/>
    <m/>
    <n v="0"/>
    <n v="15000"/>
    <s v="Roof_Flat"/>
    <s v="High"/>
    <n v="105000"/>
    <n v="0"/>
    <m/>
    <m/>
    <x v="107"/>
    <n v="1.4"/>
    <n v="9.33"/>
    <x v="35"/>
    <n v="0"/>
  </r>
  <r>
    <s v="Walmart Pkg 1"/>
    <s v="655 Saturn Blvd"/>
    <s v="San Diego, CA 92154"/>
    <n v="92154"/>
    <s v="S"/>
    <n v="32.586978000000002"/>
    <n v="-117.09021"/>
    <s v="Pkg_Lot"/>
    <n v="0.75"/>
    <m/>
    <s v=""/>
    <n v="0.75"/>
    <m/>
    <n v="0"/>
    <n v="33000"/>
    <s v="Pkg_Lot"/>
    <s v="Low"/>
    <n v="165000"/>
    <n v="0"/>
    <m/>
    <m/>
    <x v="107"/>
    <n v="1.4"/>
    <n v="9.33"/>
    <x v="35"/>
    <n v="0"/>
  </r>
  <r>
    <s v="Walmart Pkg 2"/>
    <s v="655 Saturn Blvd"/>
    <s v="San Diego, CA 92154"/>
    <n v="92154"/>
    <s v="S"/>
    <n v="32.586916000000002"/>
    <n v="-117.088449"/>
    <s v="Pkg_Lot"/>
    <n v="0.75"/>
    <m/>
    <s v=""/>
    <n v="0.75"/>
    <m/>
    <n v="0"/>
    <n v="17000"/>
    <s v="Pkg_Lot"/>
    <s v="Low"/>
    <n v="85000"/>
    <n v="0"/>
    <m/>
    <m/>
    <x v="107"/>
    <n v="1.4"/>
    <n v="9.33"/>
    <x v="35"/>
    <n v="0"/>
  </r>
  <r>
    <s v="Navy FCU Pkg"/>
    <s v="655 Saturn Blvd"/>
    <s v="San Diego, CA 92154"/>
    <n v="92154"/>
    <s v="S"/>
    <n v="32.586303000000001"/>
    <n v="-117.09094"/>
    <s v="Pkg_Lot"/>
    <n v="0.75"/>
    <m/>
    <s v=""/>
    <n v="0.75"/>
    <m/>
    <n v="0"/>
    <n v="204000"/>
    <s v="Pkg_Lot"/>
    <s v="Low"/>
    <n v="1020000"/>
    <n v="0"/>
    <m/>
    <m/>
    <x v="107"/>
    <n v="1.4"/>
    <n v="9.33"/>
    <x v="35"/>
    <n v="0"/>
  </r>
  <r>
    <s v="BoA-WFB Pkg"/>
    <s v="655 Saturn Blvd"/>
    <s v="San Diego, CA 92154"/>
    <n v="92154"/>
    <s v="S"/>
    <n v="32.585456000000001"/>
    <n v="-117.090767"/>
    <s v="Pkg_Lot"/>
    <n v="0.75"/>
    <m/>
    <s v=""/>
    <n v="0.75"/>
    <m/>
    <n v="0"/>
    <n v="185000"/>
    <s v="Pkg_Lot"/>
    <s v="Low"/>
    <n v="925000"/>
    <n v="0"/>
    <m/>
    <m/>
    <x v="107"/>
    <n v="1.4"/>
    <n v="9.33"/>
    <x v="35"/>
    <n v="0"/>
  </r>
  <r>
    <s v="Palm Promenade Shopping Ctr"/>
    <s v="710 Dennery Rd"/>
    <s v="San Diego, CA 92154"/>
    <n v="92154"/>
    <s v="S"/>
    <n v="32.579596000000002"/>
    <n v="-117.03564900000001"/>
    <s v="Shopping"/>
    <n v="1.5"/>
    <m/>
    <s v="Total"/>
    <n v="1.25"/>
    <m/>
    <n v="13"/>
    <m/>
    <m/>
    <m/>
    <n v="0"/>
    <n v="6846000"/>
    <m/>
    <m/>
    <x v="108"/>
    <n v="1.23"/>
    <n v="8.19"/>
    <x v="36"/>
    <m/>
  </r>
  <r>
    <s v="Walmart"/>
    <s v="710 Dennery Rd"/>
    <s v="San Diego, CA 92154"/>
    <n v="92154"/>
    <s v="S"/>
    <n v="32.581381"/>
    <n v="-117.035495"/>
    <s v="Target"/>
    <n v="0.75"/>
    <s v="Red"/>
    <s v=""/>
    <n v="0.75"/>
    <m/>
    <n v="0"/>
    <m/>
    <s v="Existing"/>
    <m/>
    <n v="0"/>
    <n v="0"/>
    <m/>
    <m/>
    <x v="108"/>
    <n v="1.23"/>
    <n v="8.19"/>
    <x v="36"/>
    <n v="100"/>
  </r>
  <r>
    <s v="Vons"/>
    <s v="710 Dennery Rd"/>
    <s v="San Diego, CA 92154"/>
    <n v="92154"/>
    <s v="S"/>
    <n v="32.582895999999998"/>
    <n v="-117.034677"/>
    <s v="Roof_Flat"/>
    <n v="0.75"/>
    <m/>
    <s v=""/>
    <n v="0.75"/>
    <m/>
    <n v="0"/>
    <n v="32000"/>
    <s v="Roof_Flat"/>
    <s v="High"/>
    <n v="224000"/>
    <n v="0"/>
    <m/>
    <m/>
    <x v="108"/>
    <n v="1.23"/>
    <n v="8.19"/>
    <x v="36"/>
    <n v="100"/>
  </r>
  <r>
    <s v="AMC Promenade 24"/>
    <s v="710 Dennery Rd"/>
    <s v="San Diego, CA 92154"/>
    <n v="92154"/>
    <s v="S"/>
    <n v="32.578884000000002"/>
    <n v="-117.036733"/>
    <s v="Roof_Flat"/>
    <n v="0.75"/>
    <m/>
    <s v=""/>
    <n v="0.75"/>
    <m/>
    <n v="0"/>
    <n v="74000"/>
    <s v="Roof_Flat"/>
    <s v="High"/>
    <n v="518000"/>
    <n v="0"/>
    <m/>
    <m/>
    <x v="108"/>
    <n v="1.23"/>
    <n v="8.19"/>
    <x v="36"/>
    <n v="100"/>
  </r>
  <r>
    <s v="Home Depot"/>
    <s v="710 Dennery Rd"/>
    <s v="San Diego, CA 92154"/>
    <n v="92154"/>
    <s v="S"/>
    <n v="32.576320000000003"/>
    <n v="-117.037362"/>
    <s v="Roof_Flat"/>
    <n v="0.75"/>
    <m/>
    <s v=""/>
    <n v="0.75"/>
    <m/>
    <n v="0"/>
    <n v="106000"/>
    <s v="Roof_Flat"/>
    <s v="High"/>
    <n v="742000"/>
    <n v="0"/>
    <m/>
    <m/>
    <x v="108"/>
    <n v="1.23"/>
    <n v="8.19"/>
    <x v="36"/>
    <n v="100"/>
  </r>
  <r>
    <s v="Walmart Pkg 1"/>
    <s v="710 Dennery Rd"/>
    <s v="San Diego, CA 92154"/>
    <n v="92154"/>
    <s v="S"/>
    <n v="32.582827000000002"/>
    <n v="-117.033783"/>
    <s v="Pkg_Lot"/>
    <n v="0.75"/>
    <m/>
    <s v=""/>
    <n v="0.75"/>
    <m/>
    <n v="0"/>
    <n v="94000"/>
    <s v="Pkg_Lot"/>
    <s v="High"/>
    <n v="658000"/>
    <n v="0"/>
    <m/>
    <m/>
    <x v="108"/>
    <n v="1.23"/>
    <n v="8.19"/>
    <x v="36"/>
    <n v="100"/>
  </r>
  <r>
    <s v="Walmart Pkg 2"/>
    <s v="710 Dennery Rd"/>
    <s v="San Diego, CA 92154"/>
    <n v="92154"/>
    <s v="S"/>
    <n v="32.580705000000002"/>
    <n v="-117.03458999999999"/>
    <s v="Pkg_Lot"/>
    <n v="0.75"/>
    <m/>
    <s v=""/>
    <n v="0.75"/>
    <m/>
    <n v="0"/>
    <n v="275000"/>
    <s v="Pkg_Lot"/>
    <s v="High"/>
    <n v="1925000"/>
    <n v="0"/>
    <m/>
    <m/>
    <x v="108"/>
    <n v="1.23"/>
    <n v="8.19"/>
    <x v="36"/>
    <n v="100"/>
  </r>
  <r>
    <s v="Walmart Pkg 3"/>
    <s v="710 Dennery Rd"/>
    <s v="San Diego, CA 92154"/>
    <n v="92154"/>
    <s v="S"/>
    <n v="32.580241000000001"/>
    <n v="-117.036164"/>
    <s v="Pkg_Lot"/>
    <n v="0.75"/>
    <m/>
    <s v=""/>
    <n v="0.75"/>
    <m/>
    <n v="0"/>
    <n v="81000"/>
    <s v="Pkg_Lot"/>
    <s v="High"/>
    <n v="567000"/>
    <n v="0"/>
    <m/>
    <m/>
    <x v="108"/>
    <n v="1.23"/>
    <n v="8.19"/>
    <x v="36"/>
    <n v="100"/>
  </r>
  <r>
    <s v="AMC 24 Pkg 1"/>
    <s v="710 Dennery Rd"/>
    <s v="San Diego, CA 92154"/>
    <n v="92154"/>
    <s v="S"/>
    <n v="32.579073000000001"/>
    <n v="-117.03554099999999"/>
    <s v="Pkg_Lot"/>
    <n v="0.75"/>
    <m/>
    <s v=""/>
    <n v="0.75"/>
    <m/>
    <n v="0"/>
    <n v="20000"/>
    <s v="Pkg_Lot"/>
    <s v="High"/>
    <n v="140000"/>
    <n v="0"/>
    <m/>
    <m/>
    <x v="108"/>
    <n v="1.23"/>
    <n v="8.19"/>
    <x v="36"/>
    <n v="100"/>
  </r>
  <r>
    <s v="AMC 24 Pkg 2"/>
    <s v="710 Dennery Rd"/>
    <s v="San Diego, CA 92154"/>
    <n v="92154"/>
    <s v="S"/>
    <n v="32.578037999999999"/>
    <n v="-117.03570000000001"/>
    <s v="Pkg_Lot"/>
    <n v="0.75"/>
    <m/>
    <s v=""/>
    <n v="0.75"/>
    <m/>
    <n v="0"/>
    <n v="108000"/>
    <s v="Pkg_Lot"/>
    <s v="High"/>
    <n v="756000"/>
    <n v="0"/>
    <m/>
    <m/>
    <x v="108"/>
    <n v="1.23"/>
    <n v="8.19"/>
    <x v="36"/>
    <n v="100"/>
  </r>
  <r>
    <s v="AMC 24 Pkg 3"/>
    <s v="710 Dennery Rd"/>
    <s v="San Diego, CA 92154"/>
    <n v="92154"/>
    <s v="S"/>
    <n v="32.577995000000001"/>
    <n v="-117.03698199999999"/>
    <s v="Pkg_Lot"/>
    <n v="0.75"/>
    <m/>
    <s v=""/>
    <n v="0.75"/>
    <m/>
    <n v="0"/>
    <n v="61000"/>
    <s v="Pkg_Lot"/>
    <s v="High"/>
    <n v="427000"/>
    <n v="0"/>
    <m/>
    <m/>
    <x v="108"/>
    <n v="1.23"/>
    <n v="8.19"/>
    <x v="36"/>
    <n v="100"/>
  </r>
  <r>
    <s v="HD Pkg 1"/>
    <s v="710 Dennery Rd"/>
    <s v="San Diego, CA 92154"/>
    <n v="92154"/>
    <s v="S"/>
    <n v="32.576402000000002"/>
    <n v="-117.036345"/>
    <s v="Pkg_Lot"/>
    <n v="0.75"/>
    <m/>
    <s v=""/>
    <n v="0.75"/>
    <m/>
    <n v="0"/>
    <n v="72000"/>
    <s v="Pkg_Lot"/>
    <s v="High"/>
    <n v="504000"/>
    <n v="0"/>
    <m/>
    <m/>
    <x v="108"/>
    <n v="1.23"/>
    <n v="8.19"/>
    <x v="36"/>
    <n v="100"/>
  </r>
  <r>
    <s v="HD Pkg 2"/>
    <s v="710 Dennery Rd"/>
    <s v="San Diego, CA 92154"/>
    <n v="92154"/>
    <s v="S"/>
    <n v="32.576306000000002"/>
    <n v="-117.03571599999999"/>
    <s v="Pkg_Lot"/>
    <n v="0.75"/>
    <m/>
    <s v=""/>
    <n v="0.75"/>
    <m/>
    <n v="0"/>
    <n v="55000"/>
    <s v="Pkg_Lot"/>
    <s v="High"/>
    <n v="385000"/>
    <n v="0"/>
    <m/>
    <m/>
    <x v="108"/>
    <n v="1.23"/>
    <n v="8.19"/>
    <x v="36"/>
    <n v="100"/>
  </r>
  <r>
    <s v="Weber Distribution Warehouses"/>
    <s v="1366 30th St"/>
    <s v="San Diego, CA 92154"/>
    <n v="92154"/>
    <s v="S"/>
    <n v="32.571157999999997"/>
    <n v="-117.06873400000001"/>
    <s v="Roof_Flat"/>
    <n v="1"/>
    <m/>
    <s v=""/>
    <n v="1"/>
    <m/>
    <n v="1"/>
    <n v="100200"/>
    <s v="Roof_Flat"/>
    <s v="High"/>
    <n v="701400"/>
    <n v="701400"/>
    <m/>
    <m/>
    <x v="109"/>
    <n v="1.22"/>
    <n v="8.11"/>
    <x v="36"/>
    <n v="200"/>
  </r>
  <r>
    <s v="San Ysidro Village"/>
    <s v="4330-4558 Camino de la Plaza"/>
    <s v="San Ysidro, CA 92173"/>
    <n v="92173"/>
    <s v="S"/>
    <n v="32.546146"/>
    <n v="-117.039539"/>
    <s v="Shopping"/>
    <n v="1.5"/>
    <m/>
    <s v="Total"/>
    <n v="1.25"/>
    <m/>
    <n v="8"/>
    <m/>
    <m/>
    <m/>
    <n v="0"/>
    <n v="1815000"/>
    <m/>
    <n v="76"/>
    <x v="38"/>
    <m/>
    <m/>
    <x v="36"/>
    <m/>
  </r>
  <r>
    <s v="K-Mart"/>
    <s v="4330-4558 Camino de la Plaza"/>
    <s v="San Ysidro, CA 92173"/>
    <n v="92173"/>
    <s v="S"/>
    <n v="32.546807000000001"/>
    <n v="-117.040306"/>
    <s v="Roof_Flat"/>
    <n v="0.75"/>
    <m/>
    <s v=""/>
    <n v="0.75"/>
    <m/>
    <n v="0"/>
    <n v="89000"/>
    <s v="Roof_Flat"/>
    <s v="Medium"/>
    <n v="534000"/>
    <n v="0"/>
    <m/>
    <n v="76"/>
    <x v="110"/>
    <n v="1.44"/>
    <n v="9.6199999999999992"/>
    <x v="36"/>
    <n v="0"/>
  </r>
  <r>
    <s v="Ross"/>
    <s v="4330-4558 Camino de la Plaza"/>
    <s v="San Ysidro, CA 92173"/>
    <n v="92173"/>
    <s v="S"/>
    <n v="32.546602"/>
    <n v="-117.03888600000001"/>
    <s v="Roof_Flat"/>
    <n v="0.75"/>
    <m/>
    <s v=""/>
    <n v="0.75"/>
    <m/>
    <n v="0"/>
    <n v="32000"/>
    <s v="Roof_Flat"/>
    <s v="Medium"/>
    <n v="192000"/>
    <n v="0"/>
    <m/>
    <n v="76"/>
    <x v="111"/>
    <n v="1.48"/>
    <n v="9.89"/>
    <x v="36"/>
    <n v="100"/>
  </r>
  <r>
    <s v="Oshkosh"/>
    <s v="4330-4558 Camino de la Plaza"/>
    <s v="San Ysidro, CA 92173"/>
    <n v="92173"/>
    <s v="S"/>
    <n v="32.546424000000002"/>
    <n v="-117.03803499999999"/>
    <s v="Roof_Flat"/>
    <n v="0.75"/>
    <m/>
    <s v=""/>
    <n v="0.75"/>
    <m/>
    <n v="0"/>
    <n v="16000"/>
    <s v="Roof_Flat"/>
    <s v="Medium"/>
    <n v="96000"/>
    <n v="0"/>
    <m/>
    <n v="76"/>
    <x v="111"/>
    <n v="1.48"/>
    <n v="9.89"/>
    <x v="36"/>
    <n v="100"/>
  </r>
  <r>
    <s v="Marshalls"/>
    <s v="4330-4558 Camino de la Plaza"/>
    <s v="San Ysidro, CA 92173"/>
    <n v="92173"/>
    <s v="S"/>
    <n v="32.545896999999997"/>
    <n v="-117.03749999999999"/>
    <s v="Roof_Flat"/>
    <n v="0.75"/>
    <m/>
    <s v=""/>
    <n v="0.75"/>
    <m/>
    <n v="0"/>
    <n v="25000"/>
    <s v="Roof_Flat"/>
    <s v="Medium"/>
    <n v="150000"/>
    <n v="0"/>
    <m/>
    <n v="76"/>
    <x v="111"/>
    <n v="1.48"/>
    <n v="9.89"/>
    <x v="36"/>
    <n v="100"/>
  </r>
  <r>
    <s v="SYV Parking 01"/>
    <s v="4330-4558 Camino de la Plaza"/>
    <s v="San Ysidro, CA 92173"/>
    <n v="92173"/>
    <s v="S"/>
    <n v="32.546028999999997"/>
    <n v="-117.04030400000001"/>
    <s v="Pkg_Lot"/>
    <n v="0.75"/>
    <m/>
    <s v=""/>
    <n v="0.75"/>
    <m/>
    <n v="0"/>
    <n v="75300"/>
    <s v="Pkg_Lot"/>
    <s v="Low"/>
    <n v="376500"/>
    <n v="0"/>
    <m/>
    <n v="76"/>
    <x v="111"/>
    <n v="1.48"/>
    <n v="9.89"/>
    <x v="36"/>
    <n v="100"/>
  </r>
  <r>
    <s v="SYV Parking 02"/>
    <s v="4330-4558 Camino de la Plaza"/>
    <s v="San Ysidro, CA 92173"/>
    <n v="92173"/>
    <s v="S"/>
    <n v="32.54598"/>
    <n v="-117.03868300000001"/>
    <s v="Pkg_Lot"/>
    <n v="0.75"/>
    <m/>
    <s v=""/>
    <n v="0.75"/>
    <m/>
    <n v="0"/>
    <n v="71700"/>
    <s v="Pkg_Lot"/>
    <s v="Low"/>
    <n v="358500"/>
    <n v="0"/>
    <m/>
    <n v="76"/>
    <x v="111"/>
    <n v="1.48"/>
    <n v="9.89"/>
    <x v="36"/>
    <n v="0"/>
  </r>
  <r>
    <s v="SYV Parking 03"/>
    <s v="4330-4558 Camino de la Plaza"/>
    <s v="San Ysidro, CA 92173"/>
    <n v="92173"/>
    <s v="S"/>
    <n v="32.545084000000003"/>
    <n v="-117.03703400000001"/>
    <s v="Pkg_Lot"/>
    <n v="0.75"/>
    <m/>
    <s v=""/>
    <n v="0.75"/>
    <m/>
    <n v="0"/>
    <n v="21600"/>
    <s v="Pkg_Lot"/>
    <s v="Low"/>
    <n v="108000"/>
    <n v="0"/>
    <m/>
    <n v="76"/>
    <x v="111"/>
    <n v="1.48"/>
    <n v="9.89"/>
    <x v="36"/>
    <n v="0"/>
  </r>
  <r>
    <s v="Int'l Gateway of Americas"/>
    <s v="4211 Camino de la Plaza"/>
    <s v="San Diego, CA 92173"/>
    <n v="92173"/>
    <s v="S"/>
    <n v="32.544376"/>
    <n v="-117.040575"/>
    <s v="Shopping"/>
    <n v="1.5"/>
    <m/>
    <s v="Total"/>
    <n v="1.25"/>
    <m/>
    <n v="26"/>
    <m/>
    <m/>
    <m/>
    <n v="0"/>
    <n v="6275300"/>
    <m/>
    <n v="76"/>
    <x v="111"/>
    <n v="1.48"/>
    <n v="9.89"/>
    <x v="36"/>
    <m/>
  </r>
  <r>
    <s v="IGA Bldg 01"/>
    <s v="4211 Camino de la Plaza"/>
    <s v="San Ysidro, CA 92173"/>
    <n v="92173"/>
    <s v="S"/>
    <n v="32.543433"/>
    <n v="-117.046155"/>
    <s v="Roof_Flat"/>
    <n v="0.75"/>
    <m/>
    <s v=""/>
    <n v="0.75"/>
    <m/>
    <n v="0"/>
    <n v="83000"/>
    <s v="Roof_Flat"/>
    <s v="Medium"/>
    <n v="498000"/>
    <n v="0"/>
    <m/>
    <n v="76"/>
    <x v="111"/>
    <n v="1.48"/>
    <n v="9.89"/>
    <x v="36"/>
    <n v="0"/>
  </r>
  <r>
    <s v="IGA Bldg 02"/>
    <s v="4211 Camino de la Plaza"/>
    <s v="San Ysidro, CA 92173"/>
    <n v="92173"/>
    <s v="S"/>
    <n v="32.543568999999998"/>
    <n v="-117.044377"/>
    <s v="Roof_Flat"/>
    <n v="0.75"/>
    <m/>
    <s v=""/>
    <n v="0.75"/>
    <m/>
    <n v="0"/>
    <n v="43000"/>
    <s v="Roof_Flat"/>
    <s v="Medium"/>
    <n v="258000"/>
    <n v="0"/>
    <m/>
    <n v="76"/>
    <x v="111"/>
    <n v="1.48"/>
    <n v="9.89"/>
    <x v="36"/>
    <n v="0"/>
  </r>
  <r>
    <s v="IGA Bldg 03"/>
    <s v="4211 Camino de la Plaza"/>
    <s v="San Ysidro, CA 92173"/>
    <n v="92173"/>
    <s v="S"/>
    <n v="32.544220000000003"/>
    <n v="-117.043436"/>
    <s v="Roof_Flat"/>
    <n v="0.75"/>
    <m/>
    <s v=""/>
    <n v="0.75"/>
    <m/>
    <n v="0"/>
    <n v="32000"/>
    <s v="Roof_Flat"/>
    <s v="Medium"/>
    <n v="192000"/>
    <n v="0"/>
    <m/>
    <n v="76"/>
    <x v="111"/>
    <n v="1.48"/>
    <n v="9.89"/>
    <x v="36"/>
    <n v="100"/>
  </r>
  <r>
    <s v="IGA Bldg 04"/>
    <s v="4211 Camino de la Plaza"/>
    <s v="San Ysidro, CA 92173"/>
    <n v="92173"/>
    <s v="S"/>
    <n v="32.543700999999999"/>
    <n v="-117.043255"/>
    <s v="Roof_Flat"/>
    <n v="0.75"/>
    <m/>
    <s v=""/>
    <n v="0.75"/>
    <m/>
    <n v="0"/>
    <n v="75000"/>
    <s v="Roof_Flat"/>
    <s v="Medium"/>
    <n v="450000"/>
    <n v="0"/>
    <m/>
    <n v="76"/>
    <x v="111"/>
    <n v="1.48"/>
    <n v="9.89"/>
    <x v="36"/>
    <n v="100"/>
  </r>
  <r>
    <s v="IGA Bldg 05"/>
    <s v="4211 Camino de la Plaza"/>
    <s v="San Ysidro, CA 92173"/>
    <n v="92173"/>
    <s v="S"/>
    <n v="32.543170000000003"/>
    <n v="-117.04326500000001"/>
    <s v="Roof_Flat"/>
    <n v="0.75"/>
    <m/>
    <s v=""/>
    <n v="0.75"/>
    <m/>
    <n v="0"/>
    <n v="18000"/>
    <s v="Roof_Flat"/>
    <s v="Medium"/>
    <n v="108000"/>
    <n v="0"/>
    <m/>
    <n v="76"/>
    <x v="111"/>
    <n v="1.48"/>
    <n v="9.89"/>
    <x v="36"/>
    <n v="0"/>
  </r>
  <r>
    <s v="IGA Bldg 06"/>
    <s v="4211 Camino de la Plaza"/>
    <s v="San Ysidro, CA 92173"/>
    <n v="92173"/>
    <s v="S"/>
    <n v="32.543166999999997"/>
    <n v="-117.042513"/>
    <s v="Roof_Flat"/>
    <n v="0.75"/>
    <m/>
    <s v=""/>
    <n v="0.75"/>
    <m/>
    <n v="0"/>
    <n v="12900"/>
    <s v="Roof_Flat"/>
    <s v="Medium"/>
    <n v="77400"/>
    <n v="0"/>
    <m/>
    <n v="76"/>
    <x v="111"/>
    <n v="1.48"/>
    <n v="9.89"/>
    <x v="36"/>
    <n v="0"/>
  </r>
  <r>
    <s v="IGA Bldg 07"/>
    <s v="4211 Camino de la Plaza"/>
    <s v="San Ysidro, CA 92173"/>
    <n v="92173"/>
    <s v="S"/>
    <n v="32.543787000000002"/>
    <n v="-117.041996"/>
    <s v="Roof_Flat"/>
    <n v="0.75"/>
    <m/>
    <s v=""/>
    <n v="0.75"/>
    <m/>
    <n v="0"/>
    <n v="62000"/>
    <s v="Roof_Flat"/>
    <s v="Medium"/>
    <n v="372000"/>
    <n v="0"/>
    <m/>
    <n v="76"/>
    <x v="111"/>
    <n v="1.48"/>
    <n v="9.89"/>
    <x v="36"/>
    <n v="0"/>
  </r>
  <r>
    <s v="IGA Bldg 08"/>
    <s v="4211 Camino de la Plaza"/>
    <s v="San Ysidro, CA 92173"/>
    <n v="92173"/>
    <s v="S"/>
    <n v="32.543160999999998"/>
    <n v="-117.04146900000001"/>
    <s v="Roof_Flat"/>
    <n v="0.75"/>
    <m/>
    <s v=""/>
    <n v="0.75"/>
    <m/>
    <n v="0"/>
    <n v="29000"/>
    <s v="Roof_Flat"/>
    <s v="Medium"/>
    <n v="174000"/>
    <n v="0"/>
    <m/>
    <n v="76"/>
    <x v="111"/>
    <n v="1.48"/>
    <n v="9.89"/>
    <x v="36"/>
    <n v="0"/>
  </r>
  <r>
    <s v="IGA Bldg 09"/>
    <s v="4211 Camino de la Plaza"/>
    <s v="San Ysidro, CA 92173"/>
    <n v="92173"/>
    <s v="S"/>
    <n v="32.543785"/>
    <n v="-117.04082099999999"/>
    <s v="Roof_Flat"/>
    <n v="0.75"/>
    <m/>
    <s v=""/>
    <n v="0.75"/>
    <m/>
    <n v="0"/>
    <n v="66500"/>
    <s v="Roof_Flat"/>
    <s v="Medium"/>
    <n v="399000"/>
    <n v="0"/>
    <m/>
    <n v="76"/>
    <x v="111"/>
    <n v="1.48"/>
    <n v="9.89"/>
    <x v="36"/>
    <n v="0"/>
  </r>
  <r>
    <s v="IGA Bldg 10"/>
    <s v="4211 Camino de la Plaza"/>
    <s v="San Ysidro, CA 92173"/>
    <n v="92173"/>
    <s v="S"/>
    <n v="32.54318"/>
    <n v="-117.03983599999999"/>
    <s v="Roof_Flat"/>
    <n v="0.75"/>
    <m/>
    <s v=""/>
    <n v="0.75"/>
    <m/>
    <n v="0"/>
    <n v="35500"/>
    <s v="Roof_Flat"/>
    <s v="Medium"/>
    <n v="213000"/>
    <n v="0"/>
    <m/>
    <n v="76"/>
    <x v="111"/>
    <n v="1.48"/>
    <n v="9.89"/>
    <x v="36"/>
    <n v="0"/>
  </r>
  <r>
    <s v="IGA Bldg 11"/>
    <s v="4211 Camino de la Plaza"/>
    <s v="San Ysidro, CA 92173"/>
    <n v="92173"/>
    <s v="S"/>
    <n v="32.543790999999999"/>
    <n v="-117.039562"/>
    <s v="Roof_Flat"/>
    <n v="0.75"/>
    <m/>
    <s v=""/>
    <n v="0.75"/>
    <m/>
    <n v="0"/>
    <n v="59500"/>
    <s v="Roof_Flat"/>
    <s v="Medium"/>
    <n v="357000"/>
    <n v="0"/>
    <m/>
    <n v="76"/>
    <x v="111"/>
    <n v="1.48"/>
    <n v="9.89"/>
    <x v="36"/>
    <n v="0"/>
  </r>
  <r>
    <s v="IGA Bldg 12"/>
    <s v="4211 Camino de la Plaza"/>
    <s v="San Ysidro, CA 92173"/>
    <n v="92173"/>
    <s v="S"/>
    <n v="32.544043000000002"/>
    <n v="-117.03849700000001"/>
    <s v="Roof_Flat"/>
    <n v="0.75"/>
    <m/>
    <s v=""/>
    <n v="0.75"/>
    <m/>
    <n v="0"/>
    <n v="18000"/>
    <s v="Roof_Flat"/>
    <s v="Medium"/>
    <n v="108000"/>
    <n v="0"/>
    <m/>
    <n v="76"/>
    <x v="111"/>
    <n v="1.48"/>
    <n v="9.89"/>
    <x v="36"/>
    <n v="0"/>
  </r>
  <r>
    <s v="IGA Bldg 13"/>
    <s v="4211 Camino de la Plaza"/>
    <s v="San Ysidro, CA 92173"/>
    <n v="92173"/>
    <s v="S"/>
    <n v="32.543956000000001"/>
    <n v="-117.03748899999999"/>
    <s v="Roof_Flat"/>
    <n v="0.75"/>
    <m/>
    <s v=""/>
    <n v="0.75"/>
    <m/>
    <n v="0"/>
    <n v="18500"/>
    <s v="Roof_Flat"/>
    <s v="Medium"/>
    <n v="111000"/>
    <n v="0"/>
    <m/>
    <n v="76"/>
    <x v="111"/>
    <n v="1.48"/>
    <n v="9.89"/>
    <x v="36"/>
    <n v="0"/>
  </r>
  <r>
    <s v="IGA Bldg 14"/>
    <s v="4211 Camino de la Plaza"/>
    <s v="San Ysidro, CA 92173"/>
    <n v="92173"/>
    <s v="S"/>
    <n v="32.543602999999997"/>
    <n v="-117.037969"/>
    <s v="Roof_Flat"/>
    <n v="0.75"/>
    <m/>
    <s v=""/>
    <n v="0.75"/>
    <m/>
    <n v="0"/>
    <n v="29000"/>
    <s v="Roof_Flat"/>
    <s v="Medium"/>
    <n v="174000"/>
    <n v="0"/>
    <m/>
    <n v="76"/>
    <x v="111"/>
    <n v="1.48"/>
    <n v="9.89"/>
    <x v="36"/>
    <n v="100"/>
  </r>
  <r>
    <s v="IGA Bldg 15"/>
    <s v="4211 Camino de la Plaza"/>
    <s v="San Ysidro, CA 92173"/>
    <n v="92173"/>
    <s v="S"/>
    <n v="32.543190000000003"/>
    <n v="-117.037977"/>
    <s v="Roof_Flat"/>
    <n v="0.75"/>
    <m/>
    <s v=""/>
    <n v="0.75"/>
    <m/>
    <n v="0"/>
    <n v="42000"/>
    <s v="Roof_Flat"/>
    <s v="Medium"/>
    <n v="252000"/>
    <n v="0"/>
    <m/>
    <n v="76"/>
    <x v="111"/>
    <n v="1.48"/>
    <n v="9.89"/>
    <x v="36"/>
    <n v="0"/>
  </r>
  <r>
    <s v="IGA Bldg 16"/>
    <s v="4211 Camino de la Plaza"/>
    <s v="San Ysidro, CA 92173"/>
    <n v="92173"/>
    <s v="S"/>
    <n v="32.542762000000003"/>
    <n v="-117.03787199999999"/>
    <s v="Roof_Flat"/>
    <n v="0.75"/>
    <m/>
    <s v=""/>
    <n v="0.75"/>
    <m/>
    <n v="0"/>
    <n v="22400"/>
    <s v="Roof_Flat"/>
    <s v="Medium"/>
    <n v="134400"/>
    <n v="0"/>
    <m/>
    <n v="76"/>
    <x v="111"/>
    <n v="1.48"/>
    <n v="9.89"/>
    <x v="36"/>
    <n v="200"/>
  </r>
  <r>
    <s v="IGA Bldg 17"/>
    <s v="4211 Camino de la Plaza"/>
    <s v="San Ysidro, CA 92173"/>
    <n v="92173"/>
    <s v="S"/>
    <n v="32.543016999999999"/>
    <n v="-117.038675"/>
    <s v="Roof_Flat"/>
    <n v="0.75"/>
    <m/>
    <s v=""/>
    <n v="0.75"/>
    <m/>
    <n v="0"/>
    <n v="12000"/>
    <s v="Roof_Flat"/>
    <s v="Medium"/>
    <n v="72000"/>
    <n v="0"/>
    <m/>
    <n v="76"/>
    <x v="111"/>
    <n v="1.48"/>
    <n v="9.89"/>
    <x v="36"/>
    <n v="0"/>
  </r>
  <r>
    <s v="IGA Parking 01"/>
    <s v="4211 Camino de la Plaza"/>
    <s v="San Ysidro, CA 92173"/>
    <n v="92173"/>
    <s v="S"/>
    <n v="32.543897999999999"/>
    <n v="-117.046077"/>
    <s v="Pkg_Lot"/>
    <n v="0.75"/>
    <m/>
    <s v=""/>
    <n v="0.75"/>
    <m/>
    <n v="0"/>
    <n v="63000"/>
    <s v="Pkg_Lot"/>
    <s v="Low"/>
    <n v="315000"/>
    <n v="0"/>
    <m/>
    <n v="76"/>
    <x v="111"/>
    <n v="1.48"/>
    <n v="9.89"/>
    <x v="36"/>
    <n v="200"/>
  </r>
  <r>
    <s v="IGA Parking 02"/>
    <s v="4211 Camino de la Plaza"/>
    <s v="San Ysidro, CA 92173"/>
    <n v="92173"/>
    <s v="S"/>
    <n v="32.543674000000003"/>
    <n v="-117.044954"/>
    <s v="Pkg_Lot"/>
    <n v="0.75"/>
    <m/>
    <s v=""/>
    <n v="0.75"/>
    <m/>
    <n v="0"/>
    <n v="11000"/>
    <s v="Pkg_Lot"/>
    <s v="Low"/>
    <n v="55000"/>
    <n v="0"/>
    <m/>
    <n v="76"/>
    <x v="111"/>
    <n v="1.48"/>
    <n v="9.89"/>
    <x v="36"/>
    <n v="200"/>
  </r>
  <r>
    <s v="IGA Parking 03"/>
    <s v="4211 Camino de la Plaza"/>
    <s v="San Ysidro, CA 92173"/>
    <n v="92173"/>
    <s v="S"/>
    <n v="32.544790999999996"/>
    <n v="-117.043863"/>
    <s v="Pkg_Lot"/>
    <n v="0.75"/>
    <m/>
    <s v=""/>
    <n v="0.75"/>
    <m/>
    <n v="0"/>
    <n v="128000"/>
    <s v="Pkg_Lot"/>
    <s v="Low"/>
    <n v="640000"/>
    <n v="0"/>
    <m/>
    <n v="76"/>
    <x v="111"/>
    <n v="1.48"/>
    <n v="9.89"/>
    <x v="36"/>
    <n v="0"/>
  </r>
  <r>
    <s v="IGA Parking 04"/>
    <s v="4211 Camino de la Plaza"/>
    <s v="San Ysidro, CA 92173"/>
    <n v="92173"/>
    <s v="S"/>
    <n v="32.544694999999997"/>
    <n v="-117.04150799999999"/>
    <s v="Pkg_Lot"/>
    <n v="0.75"/>
    <m/>
    <s v=""/>
    <n v="0.75"/>
    <m/>
    <n v="0"/>
    <n v="82000"/>
    <s v="Pkg_Lot"/>
    <s v="Low"/>
    <n v="410000"/>
    <n v="0"/>
    <m/>
    <n v="76"/>
    <x v="111"/>
    <n v="1.48"/>
    <n v="9.89"/>
    <x v="36"/>
    <n v="50"/>
  </r>
  <r>
    <s v="IGA Parking 05"/>
    <s v="4211 Camino de la Plaza"/>
    <s v="San Ysidro, CA 92173"/>
    <n v="92173"/>
    <s v="S"/>
    <n v="32.544694999999997"/>
    <n v="-117.039877"/>
    <s v="Pkg_Lot"/>
    <n v="0.75"/>
    <m/>
    <s v=""/>
    <n v="0.75"/>
    <m/>
    <n v="0"/>
    <n v="86000"/>
    <s v="Pkg_Lot"/>
    <s v="Low"/>
    <n v="430000"/>
    <n v="0"/>
    <m/>
    <n v="76"/>
    <x v="111"/>
    <n v="1.48"/>
    <n v="9.89"/>
    <x v="36"/>
    <n v="100"/>
  </r>
  <r>
    <s v="IGA Parking 06"/>
    <s v="4211 Camino de la Plaza"/>
    <s v="San Ysidro, CA 92173"/>
    <n v="92173"/>
    <s v="S"/>
    <n v="32.544708999999997"/>
    <n v="-117.03837900000001"/>
    <s v="Pkg_Lot"/>
    <n v="0.75"/>
    <m/>
    <s v=""/>
    <n v="0.75"/>
    <m/>
    <n v="0"/>
    <n v="47000"/>
    <s v="Pkg_Lot"/>
    <s v="Low"/>
    <n v="235000"/>
    <n v="0"/>
    <m/>
    <n v="76"/>
    <x v="111"/>
    <n v="1.48"/>
    <n v="9.89"/>
    <x v="36"/>
    <n v="100"/>
  </r>
  <r>
    <s v="IGA Parking 07"/>
    <s v="4211 Camino de la Plaza"/>
    <s v="San Ysidro, CA 92173"/>
    <n v="92173"/>
    <s v="S"/>
    <n v="32.542876999999997"/>
    <n v="-117.041522"/>
    <s v="Pkg_Lot"/>
    <n v="0.75"/>
    <m/>
    <s v=""/>
    <n v="0.75"/>
    <m/>
    <n v="0"/>
    <n v="18500"/>
    <s v="Pkg_Lot"/>
    <s v="Low"/>
    <n v="92500"/>
    <n v="0"/>
    <m/>
    <n v="76"/>
    <x v="111"/>
    <n v="1.48"/>
    <n v="9.89"/>
    <x v="36"/>
    <n v="100"/>
  </r>
  <r>
    <s v="IGA Parking 08"/>
    <s v="4211 Camino de la Plaza"/>
    <s v="San Ysidro, CA 92173"/>
    <n v="92173"/>
    <s v="S"/>
    <n v="32.542906000000002"/>
    <n v="-117.03981400000001"/>
    <s v="Pkg_Lot"/>
    <n v="0.75"/>
    <m/>
    <s v=""/>
    <n v="0.75"/>
    <m/>
    <n v="0"/>
    <n v="29600"/>
    <s v="Pkg_Lot"/>
    <s v="Low"/>
    <n v="148000"/>
    <n v="0"/>
    <m/>
    <n v="76"/>
    <x v="111"/>
    <n v="1.48"/>
    <n v="9.89"/>
    <x v="36"/>
    <n v="100"/>
  </r>
  <r>
    <s v="Border Station Parking"/>
    <s v="4570 Camino De La Plaza"/>
    <s v="San Ysidro, CA 92173"/>
    <n v="92173"/>
    <s v="S"/>
    <n v="32.544719999999998"/>
    <n v="-117.035629"/>
    <s v="Pkg_Lot"/>
    <n v="1.5"/>
    <m/>
    <s v="Total"/>
    <n v="1.25"/>
    <m/>
    <n v="2"/>
    <n v="155000"/>
    <s v="Pkg_Lot"/>
    <s v="Low"/>
    <n v="775000"/>
    <n v="775000"/>
    <m/>
    <n v="76"/>
    <x v="111"/>
    <n v="1.48"/>
    <n v="9.89"/>
    <x v="36"/>
    <n v="0"/>
  </r>
  <r>
    <s v="Under Construction-Frmr Brdr Stn Pkg "/>
    <s v="4570 Camino De La Plaza"/>
    <s v="San Ysidro, CA 92173"/>
    <n v="92173"/>
    <s v="S"/>
    <n v="32.542732000000001"/>
    <n v="-117.033618"/>
    <s v="Info"/>
    <n v="0.75"/>
    <m/>
    <s v=""/>
    <n v="0.75"/>
    <m/>
    <n v="0"/>
    <m/>
    <s v="Info"/>
    <m/>
    <n v="0"/>
    <n v="0"/>
    <s v="Under Construction"/>
    <n v="76"/>
    <x v="111"/>
    <n v="1.48"/>
    <n v="9.89"/>
    <x v="36"/>
    <n v="0"/>
  </r>
  <r>
    <s v="Warehousing Calle de Linea"/>
    <s v="6794 Calle De Linea"/>
    <s v="San Diego, CA 92154"/>
    <n v="92154"/>
    <s v="S"/>
    <n v="32.548113999999998"/>
    <n v="-116.994461"/>
    <s v="Storage"/>
    <n v="1.5"/>
    <m/>
    <s v="Total"/>
    <n v="1.25"/>
    <m/>
    <n v="4"/>
    <m/>
    <m/>
    <m/>
    <n v="0"/>
    <n v="996000"/>
    <s v="ICA N/A"/>
    <m/>
    <x v="19"/>
    <m/>
    <m/>
    <x v="37"/>
    <m/>
  </r>
  <r>
    <s v="Ceva Freight"/>
    <s v="6794 Calle De Linea"/>
    <s v="San Diego, CA 92154"/>
    <n v="92154"/>
    <s v="S"/>
    <n v="32.548254"/>
    <n v="-116.994018"/>
    <s v="Roof_Flat"/>
    <n v="0.75"/>
    <m/>
    <s v=""/>
    <n v="0.75"/>
    <m/>
    <n v="0"/>
    <n v="47900"/>
    <s v="Roof_Flat"/>
    <s v="Medium"/>
    <n v="287400"/>
    <n v="0"/>
    <s v="ICA N/A"/>
    <m/>
    <x v="112"/>
    <m/>
    <m/>
    <x v="37"/>
    <m/>
  </r>
  <r>
    <s v="Bread in Motion"/>
    <s v="6794 Calle De Linea"/>
    <s v="San Diego, CA 92154"/>
    <n v="92154"/>
    <s v="S"/>
    <n v="32.547953"/>
    <n v="-116.99487499999999"/>
    <s v="Roof_Flat"/>
    <n v="0.75"/>
    <m/>
    <s v=""/>
    <n v="0.75"/>
    <m/>
    <n v="0"/>
    <n v="29300"/>
    <s v="Roof_Flat"/>
    <s v="Medium"/>
    <n v="175800"/>
    <n v="0"/>
    <s v="ICA N/A"/>
    <m/>
    <x v="112"/>
    <m/>
    <m/>
    <x v="37"/>
    <m/>
  </r>
  <r>
    <s v="Poly-Ag Corp"/>
    <s v="6794 Calle De Linea"/>
    <s v="San Diego, CA 92154"/>
    <n v="92154"/>
    <s v="S"/>
    <n v="32.547767"/>
    <n v="-116.996058"/>
    <s v="Roof_Flat"/>
    <n v="0.75"/>
    <m/>
    <s v=""/>
    <n v="0.75"/>
    <m/>
    <n v="0"/>
    <n v="88800"/>
    <s v="Roof_Flat"/>
    <s v="Medium"/>
    <n v="532800"/>
    <n v="0"/>
    <s v="ICA N/A"/>
    <m/>
    <x v="112"/>
    <m/>
    <m/>
    <x v="37"/>
    <m/>
  </r>
  <r>
    <s v="Innovative Cold Storage Enterprises"/>
    <s v="7350 Britannia Ct"/>
    <s v="San Diego, CA 92154"/>
    <n v="92154"/>
    <s v="S"/>
    <n v="32.549469000000002"/>
    <n v="-116.98281799999999"/>
    <s v="Target"/>
    <n v="1"/>
    <s v="Red"/>
    <s v=""/>
    <n v="1"/>
    <m/>
    <n v="1"/>
    <m/>
    <s v="Existing"/>
    <m/>
    <n v="0"/>
    <n v="0"/>
    <s v="ICA N/A"/>
    <m/>
    <x v="112"/>
    <m/>
    <m/>
    <x v="37"/>
    <m/>
  </r>
  <r>
    <s v="ADESA San Diego"/>
    <s v="2175 Cactus Rd"/>
    <s v="San Diego, CA 92154"/>
    <n v="92154"/>
    <s v="S"/>
    <n v="32.558005000000001"/>
    <n v="-116.987039"/>
    <s v="Storage"/>
    <n v="1.5"/>
    <m/>
    <s v="Total"/>
    <n v="1.25"/>
    <m/>
    <n v="5"/>
    <m/>
    <m/>
    <m/>
    <n v="0"/>
    <n v="4674500"/>
    <m/>
    <m/>
    <x v="113"/>
    <n v="1.35"/>
    <n v="8.99"/>
    <x v="38"/>
    <m/>
  </r>
  <r>
    <s v="ADESA Pkg 01"/>
    <s v="2175 Cactus Rd"/>
    <s v="San Diego, CA 92154"/>
    <n v="92154"/>
    <s v="S"/>
    <n v="32.557955999999997"/>
    <n v="-116.98778900000001"/>
    <s v="Pkg_Lot"/>
    <n v="0.75"/>
    <m/>
    <s v=""/>
    <n v="0.75"/>
    <m/>
    <n v="0"/>
    <n v="54900"/>
    <s v="Pkg_Lot"/>
    <s v="Low"/>
    <n v="274500"/>
    <n v="0"/>
    <m/>
    <m/>
    <x v="113"/>
    <n v="1.35"/>
    <n v="8.99"/>
    <x v="38"/>
    <n v="2000"/>
  </r>
  <r>
    <s v="ADESA Pkg 02"/>
    <s v="2175 Cactus Rd"/>
    <s v="San Diego, CA 92154"/>
    <n v="92154"/>
    <s v="S"/>
    <n v="32.557955999999997"/>
    <n v="-116.98582399999999"/>
    <s v="Pkg_Lot"/>
    <n v="0.75"/>
    <m/>
    <s v=""/>
    <n v="0.75"/>
    <m/>
    <n v="0"/>
    <n v="358000"/>
    <s v="Pkg_Lot"/>
    <s v="Low"/>
    <n v="1790000"/>
    <n v="0"/>
    <m/>
    <m/>
    <x v="113"/>
    <n v="1.35"/>
    <n v="8.99"/>
    <x v="38"/>
    <n v="1500"/>
  </r>
  <r>
    <s v="ADESA Pkg 03"/>
    <s v="2175 Cactus Rd"/>
    <s v="San Diego, CA 92154"/>
    <n v="92154"/>
    <s v="S"/>
    <n v="32.556334"/>
    <n v="-116.98725899999999"/>
    <s v="Pkg_Lot"/>
    <n v="0.75"/>
    <m/>
    <s v=""/>
    <n v="0.75"/>
    <m/>
    <n v="0"/>
    <n v="230000"/>
    <s v="Pkg_Lot"/>
    <s v="Low"/>
    <n v="1150000"/>
    <n v="0"/>
    <m/>
    <m/>
    <x v="113"/>
    <n v="1.35"/>
    <n v="8.99"/>
    <x v="38"/>
    <n v="2000"/>
  </r>
  <r>
    <s v="ADESA Pkg 04"/>
    <s v="2175 Cactus Rd"/>
    <s v="San Diego, CA 92154"/>
    <n v="92154"/>
    <s v="S"/>
    <n v="32.556213"/>
    <n v="-116.985275"/>
    <s v="Pkg_Lot"/>
    <n v="0.75"/>
    <m/>
    <s v=""/>
    <n v="0.75"/>
    <m/>
    <n v="0"/>
    <n v="292000"/>
    <s v="Pkg_Lot"/>
    <s v="Low"/>
    <n v="1460000"/>
    <n v="0"/>
    <m/>
    <m/>
    <x v="113"/>
    <n v="1.35"/>
    <n v="8.99"/>
    <x v="38"/>
    <n v="1300"/>
  </r>
  <r>
    <s v="Insurance Auto Auctions"/>
    <s v="2380 Britannia Blvd"/>
    <s v="San Diego, CA 92154"/>
    <n v="92154"/>
    <s v="S"/>
    <n v="32.556134"/>
    <n v="-116.980495"/>
    <s v="Storage"/>
    <n v="1.5"/>
    <m/>
    <s v="Total"/>
    <n v="1.25"/>
    <m/>
    <n v="5"/>
    <m/>
    <m/>
    <m/>
    <n v="0"/>
    <n v="4536000"/>
    <m/>
    <m/>
    <x v="113"/>
    <n v="1.35"/>
    <n v="8.99"/>
    <x v="38"/>
    <m/>
  </r>
  <r>
    <s v="IAA Parking 01"/>
    <s v="2380 Britannia Blvd"/>
    <s v="San Diego, CA 92154"/>
    <n v="92154"/>
    <s v="S"/>
    <n v="32.558024000000003"/>
    <n v="-116.983064"/>
    <s v="Pkg_Lot"/>
    <n v="0.75"/>
    <m/>
    <s v=""/>
    <n v="0.75"/>
    <m/>
    <n v="0"/>
    <n v="247400"/>
    <s v="Pkg_Lot"/>
    <s v="Low"/>
    <n v="1237000"/>
    <n v="0"/>
    <m/>
    <m/>
    <x v="113"/>
    <n v="1.35"/>
    <n v="8.99"/>
    <x v="38"/>
    <n v="700"/>
  </r>
  <r>
    <s v="IAA Parking 02"/>
    <s v="2380 Britannia Blvd"/>
    <s v="San Diego, CA 92154"/>
    <n v="92154"/>
    <s v="S"/>
    <n v="32.557904999999998"/>
    <n v="-116.98116899999999"/>
    <s v="Pkg_Lot"/>
    <n v="0.75"/>
    <m/>
    <s v=""/>
    <n v="0.75"/>
    <m/>
    <n v="0"/>
    <n v="235800"/>
    <s v="Pkg_Lot"/>
    <s v="Low"/>
    <n v="1179000"/>
    <n v="0"/>
    <m/>
    <m/>
    <x v="113"/>
    <n v="1.35"/>
    <n v="8.99"/>
    <x v="38"/>
    <n v="200"/>
  </r>
  <r>
    <s v="IAA Parking 03"/>
    <s v="2380 Britannia Blvd"/>
    <s v="San Diego, CA 92154"/>
    <n v="92154"/>
    <s v="S"/>
    <n v="32.556507000000003"/>
    <n v="-116.982838"/>
    <s v="Pkg_Lot"/>
    <n v="0.75"/>
    <m/>
    <s v=""/>
    <n v="0.75"/>
    <m/>
    <n v="0"/>
    <n v="298000"/>
    <s v="Pkg_Lot"/>
    <s v="Low"/>
    <n v="1490000"/>
    <n v="0"/>
    <m/>
    <m/>
    <x v="113"/>
    <n v="1.35"/>
    <n v="8.99"/>
    <x v="38"/>
    <n v="800"/>
  </r>
  <r>
    <s v="IAA Parking 04"/>
    <s v="2380 Britannia Blvd"/>
    <s v="San Diego, CA 92154"/>
    <n v="92154"/>
    <s v="S"/>
    <n v="32.555858999999998"/>
    <n v="-116.98177699999999"/>
    <s v="Pkg_Lot"/>
    <n v="0.75"/>
    <m/>
    <s v=""/>
    <n v="0.75"/>
    <m/>
    <n v="0"/>
    <n v="126000"/>
    <s v="Pkg_Lot"/>
    <s v="Low"/>
    <n v="630000"/>
    <n v="0"/>
    <m/>
    <m/>
    <x v="113"/>
    <n v="1.35"/>
    <n v="8.99"/>
    <x v="38"/>
    <n v="400"/>
  </r>
  <r>
    <s v="Britannia Park Place Bldgs"/>
    <s v="2345 Britannia Blvd"/>
    <s v="San Diego, CA 92154"/>
    <n v="92154"/>
    <s v="S"/>
    <n v="32.555168999999999"/>
    <n v="-116.97836"/>
    <s v="Storage"/>
    <n v="1.5"/>
    <m/>
    <s v="Total"/>
    <n v="1.25"/>
    <m/>
    <n v="9"/>
    <m/>
    <m/>
    <m/>
    <n v="0"/>
    <n v="1965500"/>
    <m/>
    <m/>
    <x v="113"/>
    <n v="1.35"/>
    <n v="8.99"/>
    <x v="38"/>
    <m/>
  </r>
  <r>
    <s v="BPP Bldg 01"/>
    <s v="2345 Britannia Blvd"/>
    <s v="San Diego, CA 92154"/>
    <n v="92154"/>
    <s v="S"/>
    <n v="32.556154999999997"/>
    <n v="-116.97905"/>
    <s v="Pkg_Lot"/>
    <n v="0.75"/>
    <m/>
    <s v=""/>
    <n v="0.75"/>
    <m/>
    <n v="0"/>
    <n v="103000"/>
    <s v="Roof_Flat"/>
    <s v="Low"/>
    <n v="515000"/>
    <n v="0"/>
    <m/>
    <m/>
    <x v="113"/>
    <n v="1.35"/>
    <n v="8.99"/>
    <x v="38"/>
    <n v="150"/>
  </r>
  <r>
    <s v="BPP Bldg 02"/>
    <s v="2345 Britannia Blvd"/>
    <s v="San Diego, CA 92154"/>
    <n v="92154"/>
    <s v="S"/>
    <n v="32.556173000000001"/>
    <n v="-116.97773100000001"/>
    <s v="Pkg_Lot"/>
    <n v="0.75"/>
    <m/>
    <s v=""/>
    <n v="0.75"/>
    <m/>
    <n v="0"/>
    <n v="99000"/>
    <s v="Roof_Flat"/>
    <s v="Low"/>
    <n v="495000"/>
    <n v="0"/>
    <m/>
    <m/>
    <x v="113"/>
    <n v="1.35"/>
    <n v="8.99"/>
    <x v="38"/>
    <n v="500"/>
  </r>
  <r>
    <s v="BPP Bldg 03"/>
    <s v="2345 Britannia Blvd"/>
    <s v="San Diego, CA 92154"/>
    <n v="92154"/>
    <s v="S"/>
    <n v="32.556477999999998"/>
    <n v="-116.976269"/>
    <s v="Pkg_Lot"/>
    <n v="0.75"/>
    <m/>
    <s v=""/>
    <n v="0.75"/>
    <m/>
    <n v="0"/>
    <n v="45000"/>
    <s v="Roof_Flat"/>
    <s v="Low"/>
    <n v="225000"/>
    <n v="0"/>
    <m/>
    <m/>
    <x v="113"/>
    <n v="1.35"/>
    <n v="8.99"/>
    <x v="38"/>
    <n v="900"/>
  </r>
  <r>
    <s v="BPP Bldg 04"/>
    <s v="2345 Britannia Blvd"/>
    <s v="San Diego, CA 92154"/>
    <n v="92154"/>
    <s v="S"/>
    <n v="32.554642999999999"/>
    <n v="-116.979387"/>
    <s v="Pkg_Lot"/>
    <n v="0.75"/>
    <m/>
    <s v=""/>
    <n v="0.75"/>
    <m/>
    <n v="0"/>
    <n v="21200"/>
    <s v="Roof_Flat"/>
    <s v="Low"/>
    <n v="106000"/>
    <n v="0"/>
    <m/>
    <m/>
    <x v="113"/>
    <n v="1.35"/>
    <n v="8.99"/>
    <x v="38"/>
    <n v="50"/>
  </r>
  <r>
    <s v="BPP Bldg 05"/>
    <s v="2345 Britannia Blvd"/>
    <s v="San Diego, CA 92154"/>
    <n v="92154"/>
    <s v="S"/>
    <n v="32.554678000000003"/>
    <n v="-116.97856899999999"/>
    <s v="Pkg_Lot"/>
    <n v="0.75"/>
    <m/>
    <s v=""/>
    <n v="0.75"/>
    <m/>
    <n v="0"/>
    <n v="27400"/>
    <s v="Roof_Flat"/>
    <s v="Low"/>
    <n v="137000"/>
    <n v="0"/>
    <m/>
    <m/>
    <x v="113"/>
    <n v="1.35"/>
    <n v="8.99"/>
    <x v="38"/>
    <n v="300"/>
  </r>
  <r>
    <s v="BPP Bldg 06"/>
    <s v="2345 Britannia Blvd"/>
    <s v="San Diego, CA 92154"/>
    <n v="92154"/>
    <s v="S"/>
    <n v="32.554698999999999"/>
    <n v="-116.97773100000001"/>
    <s v="Pkg_Lot"/>
    <n v="0.75"/>
    <m/>
    <s v=""/>
    <n v="0.75"/>
    <m/>
    <n v="0"/>
    <n v="32000"/>
    <s v="Roof_Flat"/>
    <s v="Low"/>
    <n v="160000"/>
    <n v="0"/>
    <m/>
    <m/>
    <x v="113"/>
    <n v="1.35"/>
    <n v="8.99"/>
    <x v="38"/>
    <n v="500"/>
  </r>
  <r>
    <s v="BPP Bldg 07"/>
    <s v="2345 Britannia Blvd"/>
    <s v="San Diego, CA 92154"/>
    <n v="92154"/>
    <s v="S"/>
    <n v="32.553854999999999"/>
    <n v="-116.979009"/>
    <s v="Pkg_Lot"/>
    <n v="0.75"/>
    <m/>
    <s v=""/>
    <n v="0.75"/>
    <m/>
    <n v="0"/>
    <n v="31500"/>
    <s v="Roof_Flat"/>
    <s v="Low"/>
    <n v="157500"/>
    <n v="0"/>
    <m/>
    <m/>
    <x v="113"/>
    <n v="1.35"/>
    <n v="8.99"/>
    <x v="38"/>
    <n v="100"/>
  </r>
  <r>
    <s v="BPP Bldg 08"/>
    <s v="2345 Britannia Blvd"/>
    <s v="San Diego, CA 92154"/>
    <n v="92154"/>
    <s v="S"/>
    <n v="32.553888999999998"/>
    <n v="-116.97784299999999"/>
    <s v="Pkg_Lot"/>
    <n v="0.75"/>
    <m/>
    <s v=""/>
    <n v="0.75"/>
    <m/>
    <n v="0"/>
    <n v="34000"/>
    <s v="Roof_Flat"/>
    <s v="Low"/>
    <n v="170000"/>
    <n v="0"/>
    <m/>
    <m/>
    <x v="113"/>
    <n v="1.35"/>
    <n v="8.99"/>
    <x v="38"/>
    <n v="400"/>
  </r>
  <r>
    <s v="Unknown Bldg"/>
    <s v="8770 Airway Rd"/>
    <s v="San Diego, CA 92154"/>
    <n v="92154"/>
    <s v="S"/>
    <n v="32.561895999999997"/>
    <n v="-116.955956"/>
    <s v="Roof_Flat"/>
    <n v="1"/>
    <m/>
    <s v=""/>
    <n v="1"/>
    <m/>
    <n v="1"/>
    <n v="596000"/>
    <s v="Roof_Flat"/>
    <s v="Medium"/>
    <n v="3576000"/>
    <n v="3576000"/>
    <m/>
    <m/>
    <x v="113"/>
    <n v="1.35"/>
    <n v="8.99"/>
    <x v="38"/>
    <n v="100"/>
  </r>
  <r>
    <s v="Rod Robertson"/>
    <s v="9020 Airway Rd"/>
    <s v="San Diego, CA 92154"/>
    <n v="92154"/>
    <s v="S"/>
    <n v="32.561880000000002"/>
    <n v="-116.951644"/>
    <s v="Storage"/>
    <n v="1.5"/>
    <m/>
    <s v="Total"/>
    <n v="1.25"/>
    <m/>
    <n v="6"/>
    <m/>
    <m/>
    <m/>
    <n v="0"/>
    <n v="3978500"/>
    <m/>
    <m/>
    <x v="113"/>
    <n v="1.35"/>
    <n v="8.99"/>
    <x v="38"/>
    <m/>
  </r>
  <r>
    <s v="RR Parking 1"/>
    <s v="9020 Airway Rd"/>
    <s v="San Diego, CA 92154"/>
    <n v="92154"/>
    <s v="S"/>
    <n v="32.562609999999999"/>
    <n v="-116.952535"/>
    <s v="Pkg_Lot"/>
    <n v="0.75"/>
    <m/>
    <s v=""/>
    <n v="0.75"/>
    <m/>
    <n v="0"/>
    <n v="225800"/>
    <s v="Pkg_Lot"/>
    <s v="Low"/>
    <n v="1129000"/>
    <n v="0"/>
    <m/>
    <m/>
    <x v="113"/>
    <n v="1.35"/>
    <n v="8.99"/>
    <x v="38"/>
    <n v="100"/>
  </r>
  <r>
    <s v="RR Parking 2"/>
    <s v="9020 Airway Rd"/>
    <s v="San Diego, CA 92154"/>
    <n v="92154"/>
    <s v="S"/>
    <n v="32.562511000000001"/>
    <n v="-116.950778"/>
    <s v="Pkg_Lot"/>
    <n v="0.75"/>
    <m/>
    <s v=""/>
    <n v="0.75"/>
    <m/>
    <n v="0"/>
    <n v="167900"/>
    <s v="Pkg_Lot"/>
    <s v="Low"/>
    <n v="839500"/>
    <n v="0"/>
    <m/>
    <m/>
    <x v="113"/>
    <n v="1.35"/>
    <n v="8.99"/>
    <x v="38"/>
    <n v="650"/>
  </r>
  <r>
    <s v="RR Parking 3"/>
    <s v="9020 Airway Rd"/>
    <s v="San Diego, CA 92154"/>
    <n v="92154"/>
    <s v="S"/>
    <n v="32.561475999999999"/>
    <n v="-116.952946"/>
    <s v="Pkg_Lot"/>
    <n v="0.75"/>
    <m/>
    <s v=""/>
    <n v="0.75"/>
    <m/>
    <n v="0"/>
    <n v="183500"/>
    <s v="Pkg_Lot"/>
    <s v="Low"/>
    <n v="917500"/>
    <n v="0"/>
    <m/>
    <m/>
    <x v="113"/>
    <n v="1.35"/>
    <n v="8.99"/>
    <x v="38"/>
    <n v="100"/>
  </r>
  <r>
    <s v="RR Parking 4"/>
    <s v="9020 Airway Rd"/>
    <s v="San Diego, CA 92154"/>
    <n v="92154"/>
    <s v="S"/>
    <n v="32.561360999999998"/>
    <n v="-116.9516"/>
    <s v="Pkg_Lot"/>
    <n v="0.75"/>
    <m/>
    <s v=""/>
    <n v="0.75"/>
    <m/>
    <n v="0"/>
    <n v="152600"/>
    <s v="Pkg_Lot"/>
    <s v="Low"/>
    <n v="763000"/>
    <n v="0"/>
    <m/>
    <m/>
    <x v="113"/>
    <n v="1.35"/>
    <n v="8.99"/>
    <x v="38"/>
    <n v="150"/>
  </r>
  <r>
    <s v="RR Parking 5"/>
    <s v="9020 Airway Rd"/>
    <s v="San Diego, CA 92154"/>
    <n v="92154"/>
    <s v="S"/>
    <n v="32.561061000000002"/>
    <n v="-116.950497"/>
    <s v="Pkg_Lot"/>
    <n v="0.75"/>
    <m/>
    <s v=""/>
    <n v="0.75"/>
    <m/>
    <n v="0"/>
    <n v="65900"/>
    <s v="Pkg_Lot"/>
    <s v="Low"/>
    <n v="329500"/>
    <n v="0"/>
    <m/>
    <m/>
    <x v="113"/>
    <n v="1.35"/>
    <n v="8.99"/>
    <x v="38"/>
    <n v="150"/>
  </r>
  <r>
    <s v="Copart - San Diego"/>
    <s v=" 7847 Airway Rd"/>
    <s v="San Diego, CA 92154"/>
    <n v="92154"/>
    <s v="S"/>
    <n v="32.559646999999998"/>
    <n v="-116.97260300000001"/>
    <s v="Storage"/>
    <n v="1.5"/>
    <m/>
    <s v="Total"/>
    <n v="1.25"/>
    <m/>
    <n v="5"/>
    <m/>
    <m/>
    <m/>
    <n v="0"/>
    <n v="8295000"/>
    <m/>
    <m/>
    <x v="113"/>
    <n v="1.35"/>
    <n v="8.99"/>
    <x v="38"/>
    <m/>
  </r>
  <r>
    <s v="Copart Parking 01"/>
    <s v=" 7847 Airway Rd"/>
    <s v="San Diego, CA 92154"/>
    <n v="92154"/>
    <s v="S"/>
    <n v="32.560104000000003"/>
    <n v="-116.972731"/>
    <s v="Pkg_Lot"/>
    <n v="0.75"/>
    <m/>
    <s v=""/>
    <n v="0.75"/>
    <m/>
    <n v="0"/>
    <n v="33600"/>
    <s v="Pkg_Lot"/>
    <s v="Low"/>
    <n v="168000"/>
    <n v="0"/>
    <m/>
    <m/>
    <x v="113"/>
    <n v="1.35"/>
    <n v="8.99"/>
    <x v="38"/>
    <n v="100"/>
  </r>
  <r>
    <s v="Copart Parking 02"/>
    <s v=" 7847 Airway Rd"/>
    <s v="San Diego, CA 92154"/>
    <n v="92154"/>
    <s v="S"/>
    <n v="32.560060999999997"/>
    <n v="-116.971661"/>
    <s v="Pkg_Lot"/>
    <n v="0.75"/>
    <m/>
    <s v=""/>
    <n v="0.75"/>
    <m/>
    <n v="0"/>
    <n v="36400"/>
    <s v="Pkg_Lot"/>
    <s v="Low"/>
    <n v="182000"/>
    <n v="0"/>
    <m/>
    <m/>
    <x v="113"/>
    <n v="1.35"/>
    <n v="8.99"/>
    <x v="38"/>
    <n v="100"/>
  </r>
  <r>
    <s v="Copart Parking 03"/>
    <s v=" 7847 Airway Rd"/>
    <s v="San Diego, CA 92154"/>
    <n v="92154"/>
    <s v="S"/>
    <n v="32.556700999999997"/>
    <n v="-116.972089"/>
    <s v="Pkg_Lot"/>
    <n v="0.75"/>
    <m/>
    <s v=""/>
    <n v="0.75"/>
    <m/>
    <n v="0"/>
    <n v="987000"/>
    <s v="Pkg_Lot"/>
    <s v="Low"/>
    <n v="4935000"/>
    <n v="0"/>
    <m/>
    <m/>
    <x v="113"/>
    <n v="1.35"/>
    <n v="8.99"/>
    <x v="38"/>
    <n v="200"/>
  </r>
  <r>
    <s v="Copart Parking 04"/>
    <s v=" 7847 Airway Rd"/>
    <s v="San Diego, CA 92154"/>
    <n v="92154"/>
    <s v="S"/>
    <n v="32.556123999999997"/>
    <n v="-116.97038499999999"/>
    <s v="Pkg_Lot"/>
    <n v="0.75"/>
    <m/>
    <s v=""/>
    <n v="0.75"/>
    <m/>
    <n v="0"/>
    <n v="602000"/>
    <s v="Pkg_Lot"/>
    <s v="Low"/>
    <n v="3010000"/>
    <n v="0"/>
    <m/>
    <m/>
    <x v="113"/>
    <n v="1.35"/>
    <n v="8.99"/>
    <x v="38"/>
    <n v="200"/>
  </r>
  <r>
    <s v="Chipman Relocation &amp;amp; Logistics"/>
    <s v="1320 Air Wing Rd"/>
    <s v="San Diego, CA 92154"/>
    <n v="92154"/>
    <s v="S"/>
    <n v="32.573113999999997"/>
    <n v="-116.956864"/>
    <s v="Biz"/>
    <n v="1.5"/>
    <m/>
    <s v="Total"/>
    <n v="1.25"/>
    <m/>
    <n v="3"/>
    <m/>
    <m/>
    <m/>
    <n v="0"/>
    <n v="1925400"/>
    <m/>
    <m/>
    <x v="3"/>
    <n v="1.03"/>
    <n v="6.87"/>
    <x v="38"/>
    <m/>
  </r>
  <r>
    <s v="Chipman Bldg 01"/>
    <s v="1320 Air Wing Rd"/>
    <s v="San Diego, CA 92154"/>
    <n v="92154"/>
    <s v="S"/>
    <n v="32.572310999999999"/>
    <n v="-116.95678100000001"/>
    <s v="Pkg_Lot"/>
    <n v="0.75"/>
    <m/>
    <s v=""/>
    <n v="0.75"/>
    <m/>
    <n v="0"/>
    <n v="148300"/>
    <s v="Roof_Flat"/>
    <s v="Medium"/>
    <n v="889800"/>
    <n v="0"/>
    <m/>
    <m/>
    <x v="3"/>
    <n v="1.03"/>
    <n v="6.87"/>
    <x v="38"/>
    <n v="850"/>
  </r>
  <r>
    <s v="Chipman Bldg 02"/>
    <s v="1320 Air Wing Rd"/>
    <s v="San Diego, CA 92154"/>
    <n v="92154"/>
    <s v="S"/>
    <n v="32.573993999999999"/>
    <n v="-116.95672500000001"/>
    <s v="Pkg_Lot"/>
    <n v="0.75"/>
    <m/>
    <s v=""/>
    <n v="0.75"/>
    <m/>
    <n v="0"/>
    <n v="172600"/>
    <s v="Roof_Flat"/>
    <s v="Medium"/>
    <n v="1035600"/>
    <n v="0"/>
    <m/>
    <m/>
    <x v="3"/>
    <n v="1.03"/>
    <n v="6.87"/>
    <x v="38"/>
    <n v="850"/>
  </r>
  <r>
    <s v="Whalen Furniture Mfg"/>
    <s v="1578 Air Wing Rd"/>
    <s v="San Diego, CA 92154"/>
    <n v="92154"/>
    <s v="S"/>
    <n v="32.568998000000001"/>
    <n v="-116.95692200000001"/>
    <s v="Biz"/>
    <n v="1.5"/>
    <m/>
    <s v="Total"/>
    <n v="1.25"/>
    <m/>
    <n v="3"/>
    <m/>
    <m/>
    <m/>
    <n v="0"/>
    <n v="1281600"/>
    <m/>
    <m/>
    <x v="3"/>
    <n v="1.03"/>
    <n v="6.87"/>
    <x v="38"/>
    <m/>
  </r>
  <r>
    <s v="Whalen Bldg 01"/>
    <s v="1578 Air Wing Rd"/>
    <s v="San Diego, CA 92154"/>
    <n v="92154"/>
    <s v="S"/>
    <n v="32.568461999999997"/>
    <n v="-116.956986"/>
    <s v="Roof_Flat"/>
    <n v="0.75"/>
    <m/>
    <s v=""/>
    <n v="0.75"/>
    <m/>
    <n v="0"/>
    <n v="98300"/>
    <s v="Roof_Flat"/>
    <s v="Medium"/>
    <n v="589800"/>
    <n v="0"/>
    <m/>
    <m/>
    <x v="3"/>
    <n v="1.03"/>
    <n v="6.87"/>
    <x v="38"/>
    <n v="750"/>
  </r>
  <r>
    <s v="Whalen Bldg 02"/>
    <s v="1578 Air Wing Rd"/>
    <s v="San Diego, CA 92154"/>
    <n v="92154"/>
    <s v="S"/>
    <n v="32.569557000000003"/>
    <n v="-116.956912"/>
    <s v="Roof_Flat"/>
    <n v="0.75"/>
    <m/>
    <s v=""/>
    <n v="0.75"/>
    <m/>
    <n v="0"/>
    <n v="115300"/>
    <s v="Roof_Flat"/>
    <s v="Medium"/>
    <n v="691800"/>
    <n v="0"/>
    <m/>
    <m/>
    <x v="3"/>
    <n v="1.03"/>
    <n v="6.87"/>
    <x v="38"/>
    <n v="750"/>
  </r>
  <r>
    <s v="Cross Border Express"/>
    <s v="2745 Otay Pacific Drive"/>
    <s v="San Diego, CA 92154"/>
    <n v="92154"/>
    <s v="S"/>
    <n v="32.548738999999998"/>
    <n v="-116.97421799999999"/>
    <s v="Biz"/>
    <n v="1.5"/>
    <m/>
    <s v="Total"/>
    <n v="1.25"/>
    <m/>
    <n v="6"/>
    <m/>
    <m/>
    <m/>
    <n v="0"/>
    <n v="3586800"/>
    <m/>
    <m/>
    <x v="113"/>
    <n v="1.35"/>
    <n v="8.99"/>
    <x v="38"/>
    <m/>
  </r>
  <r>
    <s v="Cross Border 3 rooftops"/>
    <s v="2745 Otay Pacific Drive"/>
    <s v="San Diego, CA 92154"/>
    <n v="92154"/>
    <s v="S"/>
    <n v="32.548302999999997"/>
    <n v="-116.974456"/>
    <s v="Roof_Flat"/>
    <n v="0.75"/>
    <m/>
    <s v=""/>
    <n v="0.75"/>
    <m/>
    <n v="0"/>
    <n v="26400"/>
    <s v="Roof_Flat"/>
    <s v="High"/>
    <n v="184800"/>
    <n v="0"/>
    <m/>
    <m/>
    <x v="113"/>
    <n v="1.35"/>
    <n v="8.99"/>
    <x v="38"/>
    <n v="1000"/>
  </r>
  <r>
    <s v="Cross Border Pkg 1"/>
    <s v="2745 Otay Pacific Drive"/>
    <s v="San Diego, CA 92154"/>
    <n v="92154"/>
    <s v="S"/>
    <n v="32.549084000000001"/>
    <n v="-116.973494"/>
    <s v="Pkg_Lot"/>
    <n v="0.75"/>
    <m/>
    <s v=""/>
    <n v="0.75"/>
    <m/>
    <n v="0"/>
    <n v="200000"/>
    <s v="Pkg_Lot"/>
    <s v="High"/>
    <n v="1400000"/>
    <n v="0"/>
    <m/>
    <m/>
    <x v="113"/>
    <n v="1.35"/>
    <n v="8.99"/>
    <x v="38"/>
    <n v="1000"/>
  </r>
  <r>
    <s v="Cross Border Pkg 2"/>
    <s v="2745 Otay Pacific Drive"/>
    <s v="San Diego, CA 92154"/>
    <n v="92154"/>
    <s v="S"/>
    <n v="32.547778999999998"/>
    <n v="-116.973624"/>
    <s v="Pkg_Lot"/>
    <n v="0.75"/>
    <m/>
    <s v=""/>
    <n v="0.75"/>
    <m/>
    <n v="0"/>
    <n v="54000"/>
    <s v="Pkg_Lot"/>
    <s v="High"/>
    <n v="378000"/>
    <n v="0"/>
    <m/>
    <m/>
    <x v="113"/>
    <n v="1.35"/>
    <n v="8.99"/>
    <x v="38"/>
    <n v="1000"/>
  </r>
  <r>
    <s v="Cross Border Pkg 3"/>
    <s v="2745 Otay Pacific Drive"/>
    <s v="San Diego, CA 92154"/>
    <n v="92154"/>
    <s v="S"/>
    <n v="32.549619999999997"/>
    <n v="-116.97270399999999"/>
    <s v="Pkg_Lot"/>
    <n v="0.75"/>
    <m/>
    <s v=""/>
    <n v="0.75"/>
    <m/>
    <n v="0"/>
    <n v="57000"/>
    <s v="Pkg_Lot"/>
    <s v="High"/>
    <n v="399000"/>
    <n v="0"/>
    <m/>
    <m/>
    <x v="113"/>
    <n v="1.35"/>
    <n v="8.99"/>
    <x v="38"/>
    <n v="1000"/>
  </r>
  <r>
    <s v="Cross Border Pkg 4"/>
    <s v="2745 Otay Pacific Drive"/>
    <s v="San Diego, CA 92154"/>
    <n v="92154"/>
    <s v="S"/>
    <n v="32.548583000000001"/>
    <n v="-116.971615"/>
    <s v="Pkg_Lot"/>
    <n v="0.75"/>
    <m/>
    <s v=""/>
    <n v="0.75"/>
    <m/>
    <n v="0"/>
    <n v="175000"/>
    <s v="Pkg_Lot"/>
    <s v="High"/>
    <n v="1225000"/>
    <n v="0"/>
    <m/>
    <m/>
    <x v="113"/>
    <n v="1.35"/>
    <n v="8.99"/>
    <x v="38"/>
    <n v="1000"/>
  </r>
  <r>
    <s v="FedEx Trade Networks"/>
    <s v="8409 Kerns St"/>
    <s v="San Diego, CA 92154"/>
    <n v="92154"/>
    <s v="S"/>
    <n v="32.549779999999998"/>
    <n v="-116.96111000000001"/>
    <s v="Roof_Flat"/>
    <n v="1"/>
    <m/>
    <s v=""/>
    <n v="1"/>
    <m/>
    <n v="1"/>
    <n v="255000"/>
    <s v="Roof_Flat"/>
    <s v="High"/>
    <n v="1785000"/>
    <n v="1785000"/>
    <m/>
    <m/>
    <x v="114"/>
    <n v="1.46"/>
    <n v="9.76"/>
    <x v="38"/>
    <n v="50"/>
  </r>
  <r>
    <s v="Nassco"/>
    <s v="8511 Kerns St"/>
    <s v="San Diego, CA 92154"/>
    <n v="92154"/>
    <s v="S"/>
    <n v="32.549827000000001"/>
    <n v="-116.95917799999999"/>
    <s v="Roof_Flat"/>
    <n v="1"/>
    <m/>
    <s v=""/>
    <n v="1"/>
    <m/>
    <n v="1"/>
    <n v="222000"/>
    <s v="Roof_Flat"/>
    <s v="High"/>
    <n v="1554000"/>
    <n v="1554000"/>
    <m/>
    <m/>
    <x v="114"/>
    <n v="1.46"/>
    <n v="9.76"/>
    <x v="38"/>
    <n v="50"/>
  </r>
  <r>
    <s v="Johnson Storage &amp;amp; Moving"/>
    <s v="8709 Kerns St"/>
    <s v="San Diego, CA 92154"/>
    <n v="92154"/>
    <s v="S"/>
    <n v="32.549979999999998"/>
    <n v="-116.955916"/>
    <s v="Storage"/>
    <n v="1.5"/>
    <m/>
    <s v="Total"/>
    <n v="1.25"/>
    <m/>
    <n v="3"/>
    <m/>
    <m/>
    <m/>
    <n v="0"/>
    <n v="1698900"/>
    <m/>
    <m/>
    <x v="114"/>
    <n v="1.46"/>
    <n v="9.76"/>
    <x v="38"/>
    <m/>
  </r>
  <r>
    <s v="JSM Bldg 01"/>
    <s v="8709 Kerns St"/>
    <s v="San Diego, CA 92154"/>
    <n v="92154"/>
    <s v="S"/>
    <n v="32.550078999999997"/>
    <n v="-116.95531800000001"/>
    <s v="Roof_Flat"/>
    <n v="0.75"/>
    <m/>
    <s v=""/>
    <n v="0.75"/>
    <m/>
    <n v="0"/>
    <n v="58000"/>
    <s v="Roof_Flat"/>
    <s v="High"/>
    <n v="406000"/>
    <n v="0"/>
    <m/>
    <m/>
    <x v="114"/>
    <n v="1.46"/>
    <n v="9.76"/>
    <x v="38"/>
    <n v="100"/>
  </r>
  <r>
    <s v="JSM Bldg 02"/>
    <s v="8709 Kerns St"/>
    <s v="San Diego, CA 92154"/>
    <n v="92154"/>
    <s v="S"/>
    <n v="32.549925999999999"/>
    <n v="-116.956824"/>
    <s v="Roof_Flat"/>
    <n v="0.75"/>
    <m/>
    <s v=""/>
    <n v="0.75"/>
    <m/>
    <n v="0"/>
    <n v="184700"/>
    <s v="Roof_Flat"/>
    <s v="High"/>
    <n v="1292900"/>
    <n v="0"/>
    <m/>
    <m/>
    <x v="114"/>
    <n v="1.46"/>
    <n v="9.76"/>
    <x v="38"/>
    <n v="100"/>
  </r>
  <r>
    <s v="Otay Mesa Sales"/>
    <s v="8851 Kerns St"/>
    <s v="San Diego, CA 92154"/>
    <n v="92154"/>
    <s v="S"/>
    <n v="32.550238"/>
    <n v="-116.95276200000001"/>
    <s v="Roof_Flat"/>
    <n v="1"/>
    <m/>
    <s v=""/>
    <n v="1"/>
    <m/>
    <n v="1"/>
    <n v="108000"/>
    <s v="Roof_Flat"/>
    <s v="High"/>
    <n v="756000"/>
    <n v="756000"/>
    <m/>
    <m/>
    <x v="114"/>
    <n v="1.46"/>
    <n v="9.76"/>
    <x v="38"/>
    <n v="150"/>
  </r>
  <r>
    <s v="Mad Engine DC"/>
    <s v="8917 Kerns St"/>
    <s v="San Diego, CA 92154"/>
    <n v="92154"/>
    <s v="S"/>
    <n v="32.550206000000003"/>
    <n v="-116.950638"/>
    <s v="Roof_Flat"/>
    <n v="1"/>
    <m/>
    <s v=""/>
    <n v="1"/>
    <m/>
    <n v="1"/>
    <n v="97300"/>
    <s v="Roof_Flat"/>
    <s v="High"/>
    <n v="681100"/>
    <n v="681100"/>
    <m/>
    <m/>
    <x v="114"/>
    <n v="1.46"/>
    <n v="9.76"/>
    <x v="38"/>
    <n v="0"/>
  </r>
  <r>
    <s v="Bose"/>
    <s v="2660 Sarnen St"/>
    <s v="San Diego, CA 92154"/>
    <n v="92154"/>
    <s v="S"/>
    <n v="32.551997999999998"/>
    <n v="-116.95273899999999"/>
    <s v="Roof_Flat"/>
    <n v="1"/>
    <m/>
    <s v=""/>
    <n v="1"/>
    <m/>
    <n v="1"/>
    <n v="106000"/>
    <s v="Roof_Flat"/>
    <s v="High"/>
    <n v="742000"/>
    <n v="742000"/>
    <m/>
    <m/>
    <x v="114"/>
    <n v="1.46"/>
    <n v="9.76"/>
    <x v="38"/>
    <n v="100"/>
  </r>
  <r>
    <s v="Imperial Toy"/>
    <s v="9043 Siempre Viva Rd"/>
    <s v="San Diego, CA 92154"/>
    <n v="92154"/>
    <s v="S"/>
    <n v="32.551921"/>
    <n v="-116.950997"/>
    <s v="Roof_Flat"/>
    <n v="1"/>
    <m/>
    <s v=""/>
    <n v="1"/>
    <m/>
    <n v="1"/>
    <n v="254500"/>
    <s v="Roof_Flat"/>
    <s v="High"/>
    <n v="1781500"/>
    <n v="1781500"/>
    <m/>
    <m/>
    <x v="114"/>
    <n v="1.46"/>
    <n v="9.76"/>
    <x v="38"/>
    <n v="200"/>
  </r>
  <r>
    <s v="Customhouse Plaza"/>
    <s v="Siempre Viva Rd &amp;amp; Drucker Ln"/>
    <s v="San Diego, CA 92154"/>
    <n v="92154"/>
    <s v="S"/>
    <n v="32.552098999999998"/>
    <n v="-116.94732"/>
    <s v="Storage"/>
    <n v="1.5"/>
    <m/>
    <s v="Total"/>
    <n v="1.25"/>
    <m/>
    <n v="5"/>
    <m/>
    <m/>
    <m/>
    <n v="0"/>
    <n v="2343600"/>
    <m/>
    <m/>
    <x v="114"/>
    <n v="1.46"/>
    <n v="9.76"/>
    <x v="38"/>
    <m/>
  </r>
  <r>
    <s v="OMG Logistics"/>
    <s v="Siempre Viva Rd &amp;amp; Drucker Ln"/>
    <s v="San Diego, CA 92154"/>
    <n v="92154"/>
    <s v="S"/>
    <n v="32.551597000000001"/>
    <n v="-116.94737600000001"/>
    <s v="Roof_Flat"/>
    <n v="0.75"/>
    <m/>
    <s v=""/>
    <n v="0.75"/>
    <m/>
    <n v="0"/>
    <n v="276400"/>
    <s v="Roof_Flat"/>
    <s v="High"/>
    <n v="1934800"/>
    <n v="0"/>
    <m/>
    <m/>
    <x v="114"/>
    <n v="1.46"/>
    <n v="9.76"/>
    <x v="38"/>
    <n v="0"/>
  </r>
  <r>
    <s v="Customhouse Plaza Bldg 2"/>
    <s v="Siempre Viva Rd &amp;amp; Drucker Ln"/>
    <s v="San Diego, CA 92154"/>
    <n v="92154"/>
    <s v="S"/>
    <n v="32.552570000000003"/>
    <n v="-116.948528"/>
    <s v="Roof_Flat"/>
    <n v="0.75"/>
    <m/>
    <s v=""/>
    <n v="0.75"/>
    <m/>
    <n v="0"/>
    <n v="20000"/>
    <s v="Roof_Flat"/>
    <s v="High"/>
    <n v="140000"/>
    <n v="0"/>
    <m/>
    <m/>
    <x v="114"/>
    <n v="1.46"/>
    <n v="9.76"/>
    <x v="38"/>
    <n v="100"/>
  </r>
  <r>
    <s v="Otay Mesa Coc"/>
    <s v="Siempre Viva Rd &amp;amp; Drucker Ln"/>
    <s v="San Diego, CA 92154"/>
    <n v="92154"/>
    <s v="S"/>
    <n v="32.552540999999998"/>
    <n v="-116.947256"/>
    <s v="Roof_Flat"/>
    <n v="0.75"/>
    <m/>
    <s v=""/>
    <n v="0.75"/>
    <m/>
    <n v="0"/>
    <n v="20000"/>
    <s v="Roof_Flat"/>
    <s v="High"/>
    <n v="140000"/>
    <n v="0"/>
    <m/>
    <m/>
    <x v="114"/>
    <n v="1.46"/>
    <n v="9.76"/>
    <x v="38"/>
    <n v="100"/>
  </r>
  <r>
    <s v="PM Packaging"/>
    <s v="Siempre Viva Rd &amp;amp; Drucker Ln"/>
    <s v="San Diego, CA 92154"/>
    <n v="92154"/>
    <s v="S"/>
    <n v="32.552492999999998"/>
    <n v="-116.946027"/>
    <s v="Roof_Flat"/>
    <n v="0.75"/>
    <m/>
    <s v=""/>
    <n v="0.75"/>
    <m/>
    <n v="0"/>
    <n v="18400"/>
    <s v="Roof_Flat"/>
    <s v="High"/>
    <n v="128800"/>
    <n v="0"/>
    <m/>
    <m/>
    <x v="114"/>
    <n v="1.46"/>
    <n v="9.76"/>
    <x v="38"/>
    <n v="100"/>
  </r>
  <r>
    <s v="Customhouse Ct"/>
    <s v="Customhouse Ct-Customhouse Plaza"/>
    <s v="San Diego, CA 92154"/>
    <n v="92154"/>
    <s v="S"/>
    <n v="32.550958000000001"/>
    <n v="-116.943219"/>
    <s v="Storage"/>
    <n v="1.5"/>
    <m/>
    <s v="Total"/>
    <n v="1.25"/>
    <m/>
    <n v="6"/>
    <m/>
    <m/>
    <m/>
    <n v="0"/>
    <n v="1681900"/>
    <m/>
    <m/>
    <x v="115"/>
    <n v="1.41"/>
    <n v="9.4"/>
    <x v="38"/>
    <m/>
  </r>
  <r>
    <s v="Customhouse Ct Bldg 01"/>
    <s v="Customhouse Ct-Customhouse Plaza"/>
    <s v="San Diego, CA 92154"/>
    <n v="92154"/>
    <s v="S"/>
    <n v="32.551262000000001"/>
    <n v="-116.944271"/>
    <s v="Roof_Flat"/>
    <n v="0.75"/>
    <m/>
    <s v=""/>
    <n v="0.75"/>
    <m/>
    <n v="0"/>
    <n v="23000"/>
    <s v="Roof_Flat"/>
    <s v="Medium"/>
    <n v="138000"/>
    <n v="0"/>
    <m/>
    <m/>
    <x v="115"/>
    <n v="1.41"/>
    <n v="9.4"/>
    <x v="38"/>
    <n v="150"/>
  </r>
  <r>
    <s v="Customhouse Ct Bldg 02"/>
    <s v="Customhouse Ct-Customhouse Plaza"/>
    <s v="San Diego, CA 92154"/>
    <n v="92154"/>
    <s v="S"/>
    <n v="32.551282999999998"/>
    <n v="-116.942774"/>
    <s v="Roof_Flat"/>
    <n v="0.75"/>
    <m/>
    <s v=""/>
    <n v="0.75"/>
    <m/>
    <n v="0"/>
    <n v="12000"/>
    <s v="Roof_Flat"/>
    <s v="Medium"/>
    <n v="72000"/>
    <n v="0"/>
    <m/>
    <m/>
    <x v="115"/>
    <n v="1.41"/>
    <n v="9.4"/>
    <x v="38"/>
    <n v="150"/>
  </r>
  <r>
    <s v="Customhouse Ct Bldg 03"/>
    <s v="Customhouse Ct-Customhouse Plaza"/>
    <s v="San Diego, CA 92154"/>
    <n v="92154"/>
    <s v="S"/>
    <n v="32.551290999999999"/>
    <n v="-116.941587"/>
    <s v="Roof_Flat"/>
    <n v="0.75"/>
    <m/>
    <s v=""/>
    <n v="0.75"/>
    <m/>
    <n v="0"/>
    <n v="10000"/>
    <s v="Roof_Flat"/>
    <s v="Medium"/>
    <n v="60000"/>
    <n v="0"/>
    <m/>
    <m/>
    <x v="115"/>
    <n v="1.41"/>
    <n v="9.4"/>
    <x v="38"/>
    <n v="150"/>
  </r>
  <r>
    <s v="Customhouse Ct Bldg 04"/>
    <s v="Customhouse Ct-Customhouse Plaza"/>
    <s v="San Diego, CA 92154"/>
    <n v="92154"/>
    <s v="S"/>
    <n v="32.550479000000003"/>
    <n v="-116.944182"/>
    <s v="Roof_Flat"/>
    <n v="0.75"/>
    <m/>
    <s v=""/>
    <n v="0.75"/>
    <m/>
    <n v="0"/>
    <n v="103000"/>
    <s v="Roof_Flat"/>
    <s v="High"/>
    <n v="721000"/>
    <n v="0"/>
    <m/>
    <m/>
    <x v="115"/>
    <n v="1.41"/>
    <n v="9.4"/>
    <x v="38"/>
    <n v="50"/>
  </r>
  <r>
    <s v="Customhouse Ct Bldg 05"/>
    <s v="Customhouse Ct-Customhouse Plaza"/>
    <s v="San Diego, CA 92154"/>
    <n v="92154"/>
    <s v="S"/>
    <n v="32.550581000000001"/>
    <n v="-116.942123"/>
    <s v="Roof_Flat"/>
    <n v="0.75"/>
    <m/>
    <s v=""/>
    <n v="0.75"/>
    <m/>
    <n v="0"/>
    <n v="98700"/>
    <s v="Roof_Flat"/>
    <s v="High"/>
    <n v="690900"/>
    <n v="0"/>
    <m/>
    <m/>
    <x v="115"/>
    <n v="1.41"/>
    <n v="9.4"/>
    <x v="38"/>
    <n v="50"/>
  </r>
  <r>
    <s v="Border Patrol"/>
    <s v="9495 Customhouse Plaza"/>
    <s v="San Diego, CA 92154"/>
    <n v="92154"/>
    <s v="S"/>
    <n v="32.551090000000002"/>
    <n v="-116.940034"/>
    <s v="Target"/>
    <n v="1"/>
    <s v="Red"/>
    <s v=""/>
    <n v="1"/>
    <m/>
    <n v="1"/>
    <m/>
    <s v="Existing"/>
    <m/>
    <n v="0"/>
    <n v="0"/>
    <m/>
    <m/>
    <x v="19"/>
    <m/>
    <m/>
    <x v="7"/>
    <m/>
  </r>
  <r>
    <s v="Next to Panasonic"/>
    <s v="2001 Sanyo Ave"/>
    <s v="San Diego, CA 92154"/>
    <n v="92154"/>
    <s v="S"/>
    <n v="32.562801"/>
    <n v="-116.938339"/>
    <s v="Roof_Flat"/>
    <n v="1"/>
    <m/>
    <s v=""/>
    <n v="1"/>
    <m/>
    <n v="1"/>
    <n v="281000"/>
    <s v="Roof_Flat"/>
    <s v="High"/>
    <n v="1967000"/>
    <n v="1967000"/>
    <s v="536 has neg PV capacity"/>
    <m/>
    <x v="115"/>
    <n v="1.41"/>
    <n v="9.4"/>
    <x v="38"/>
    <n v="200"/>
  </r>
  <r>
    <s v="Mission Imprintables"/>
    <s v="Dornoch Ct"/>
    <s v="San Diego, CA 92154"/>
    <n v="92154"/>
    <s v="S"/>
    <n v="32.565218000000002"/>
    <n v="-116.93745800000001"/>
    <s v="Roof_Flat"/>
    <n v="1"/>
    <m/>
    <s v=""/>
    <n v="1"/>
    <m/>
    <n v="1"/>
    <n v="194000"/>
    <s v="Roof_Flat"/>
    <s v="High"/>
    <n v="1358000"/>
    <n v="1358000"/>
    <s v="536 has neg PV capacity"/>
    <m/>
    <x v="115"/>
    <n v="1.41"/>
    <n v="9.4"/>
    <x v="38"/>
    <n v="800"/>
  </r>
  <r>
    <s v="Pino's Produce"/>
    <s v="1710 Dornoch Ct "/>
    <s v="San Diego, CA 92154"/>
    <n v="92154"/>
    <s v="S"/>
    <n v="32.567056000000001"/>
    <n v="-116.939639"/>
    <s v="Target"/>
    <n v="1"/>
    <s v="Red"/>
    <s v=""/>
    <n v="1"/>
    <m/>
    <n v="1"/>
    <m/>
    <s v="Existing"/>
    <m/>
    <n v="0"/>
    <n v="0"/>
    <m/>
    <m/>
    <x v="19"/>
    <m/>
    <m/>
    <x v="7"/>
    <m/>
  </r>
  <r>
    <s v="Mor Furniture for Less"/>
    <s v="7757 St Andrews Ave"/>
    <s v="San Diego, CA 92154"/>
    <n v="92154"/>
    <s v="S"/>
    <n v="32.565238399999998"/>
    <n v="-116.9741495"/>
    <s v="Roof_Flat"/>
    <n v="1"/>
    <m/>
    <s v=""/>
    <n v="1"/>
    <m/>
    <n v="1"/>
    <n v="172000"/>
    <s v="Roof_Flat"/>
    <s v="High"/>
    <n v="1204000"/>
    <n v="1204000"/>
    <m/>
    <m/>
    <x v="3"/>
    <n v="1.03"/>
    <n v="6.87"/>
    <x v="38"/>
    <n v="250"/>
  </r>
  <r>
    <s v="Fabricas de Calzado Andrea"/>
    <s v="7603 St Andrews Ave"/>
    <s v="San Diego, CA 92154"/>
    <n v="92154"/>
    <s v="S"/>
    <n v="32.566302"/>
    <n v="-116.978606"/>
    <s v="Roof_Flat"/>
    <n v="1"/>
    <m/>
    <s v=""/>
    <n v="1"/>
    <m/>
    <n v="1"/>
    <n v="174000"/>
    <s v="Roof_Flat"/>
    <s v="High"/>
    <n v="1218000"/>
    <n v="1218000"/>
    <m/>
    <m/>
    <x v="3"/>
    <n v="1.03"/>
    <n v="6.87"/>
    <x v="38"/>
    <n v="200"/>
  </r>
  <r>
    <s v="San Diego Auto Wrecking"/>
    <s v="951-C Heritage Rd"/>
    <s v="San Diego, CA 92154"/>
    <n v="92154"/>
    <s v="S"/>
    <n v="32.577052000000002"/>
    <n v="-116.994086"/>
    <s v="Pkg_Lot"/>
    <n v="1"/>
    <m/>
    <s v=""/>
    <n v="1"/>
    <m/>
    <n v="1"/>
    <n v="150000"/>
    <s v="Pkg_Lot"/>
    <s v="Medium"/>
    <n v="750000"/>
    <n v="750000"/>
    <s v="ICA N/A"/>
    <m/>
    <x v="112"/>
    <m/>
    <m/>
    <x v="37"/>
    <m/>
  </r>
  <r>
    <s v="Ocean View Hills Corp Ctr"/>
    <s v="1425 Corporate Center Dr"/>
    <s v="San Diego, CA 92154"/>
    <n v="92154"/>
    <s v="S"/>
    <n v="32.572881000000002"/>
    <n v="-117.003433"/>
    <s v="Biz"/>
    <n v="1.5"/>
    <m/>
    <s v="Total"/>
    <n v="1.25"/>
    <m/>
    <n v="11"/>
    <m/>
    <m/>
    <m/>
    <n v="0"/>
    <n v="6283000"/>
    <s v="ICA N/A"/>
    <m/>
    <x v="112"/>
    <m/>
    <m/>
    <x v="37"/>
    <m/>
  </r>
  <r>
    <s v="Artissimo Design"/>
    <s v="1425 Corporate Center Dr"/>
    <s v="San Diego, CA 92154"/>
    <n v="92154"/>
    <s v="S"/>
    <n v="32.574888000000001"/>
    <n v="-117.004757"/>
    <s v="Roof_Flat"/>
    <n v="0.75"/>
    <m/>
    <s v=""/>
    <n v="0.75"/>
    <m/>
    <n v="0"/>
    <n v="137000"/>
    <s v="Roof_Flat"/>
    <s v="High"/>
    <n v="959000"/>
    <n v="0"/>
    <s v="ICA N/A"/>
    <m/>
    <x v="112"/>
    <m/>
    <m/>
    <x v="37"/>
    <m/>
  </r>
  <r>
    <s v="Unknown Bldg"/>
    <s v="1425 Corporate Center Dr"/>
    <s v="San Diego, CA 92154"/>
    <n v="92154"/>
    <s v="S"/>
    <n v="32.573667"/>
    <n v="-117.004744"/>
    <s v="Roof_Flat"/>
    <n v="0.75"/>
    <m/>
    <s v=""/>
    <n v="0.75"/>
    <m/>
    <n v="0"/>
    <n v="162000"/>
    <s v="Roof_Flat"/>
    <s v="High"/>
    <n v="1134000"/>
    <n v="0"/>
    <s v="ICA N/A"/>
    <m/>
    <x v="112"/>
    <m/>
    <m/>
    <x v="37"/>
    <m/>
  </r>
  <r>
    <s v="Plantronics"/>
    <s v="1425 Corporate Center Dr"/>
    <s v="San Diego, CA 92154"/>
    <n v="92154"/>
    <s v="S"/>
    <n v="32.574266000000001"/>
    <n v="-117.00639200000001"/>
    <s v="Roof_Flat"/>
    <n v="0.75"/>
    <m/>
    <s v=""/>
    <n v="0.75"/>
    <m/>
    <n v="0"/>
    <n v="95000"/>
    <s v="Roof_Flat"/>
    <s v="High"/>
    <n v="665000"/>
    <n v="0"/>
    <s v="ICA N/A"/>
    <m/>
    <x v="112"/>
    <m/>
    <m/>
    <x v="37"/>
    <m/>
  </r>
  <r>
    <s v="San Diego Cheer Elite"/>
    <s v="1425 Corporate Center Dr"/>
    <s v="San Diego, CA 92154"/>
    <n v="92154"/>
    <s v="S"/>
    <n v="32.574815999999998"/>
    <n v="-117.002815"/>
    <s v="Roof_Flat"/>
    <n v="0.75"/>
    <m/>
    <s v=""/>
    <n v="0.75"/>
    <m/>
    <n v="0"/>
    <n v="55200"/>
    <s v="Roof_Flat"/>
    <s v="Medium"/>
    <n v="331200"/>
    <n v="0"/>
    <s v="ICA N/A"/>
    <m/>
    <x v="112"/>
    <m/>
    <m/>
    <x v="37"/>
    <m/>
  </r>
  <r>
    <s v="East of SD Cheer"/>
    <s v="1425 Corporate Center Dr"/>
    <s v="San Diego, CA 92154"/>
    <n v="92154"/>
    <s v="S"/>
    <n v="32.574826000000002"/>
    <n v="-117.001831"/>
    <s v="Roof_Flat"/>
    <n v="0.75"/>
    <m/>
    <s v=""/>
    <n v="0.75"/>
    <m/>
    <n v="0"/>
    <n v="61900"/>
    <s v="Roof_Flat"/>
    <s v="Medium"/>
    <n v="371400"/>
    <n v="0"/>
    <s v="ICA N/A"/>
    <m/>
    <x v="112"/>
    <m/>
    <m/>
    <x v="37"/>
    <m/>
  </r>
  <r>
    <s v="South of SD Cheer"/>
    <s v="1425 Corporate Center Dr"/>
    <s v="San Diego, CA 92154"/>
    <n v="92154"/>
    <s v="S"/>
    <n v="32.573551000000002"/>
    <n v="-117.00234500000001"/>
    <s v="Roof_Flat"/>
    <n v="0.75"/>
    <m/>
    <s v=""/>
    <n v="0.75"/>
    <m/>
    <n v="0"/>
    <n v="84300"/>
    <s v="Roof_Flat"/>
    <s v="Medium"/>
    <n v="505800"/>
    <n v="0"/>
    <s v="ICA N/A"/>
    <m/>
    <x v="112"/>
    <m/>
    <m/>
    <x v="37"/>
    <m/>
  </r>
  <r>
    <s v="FedEx Ship Center"/>
    <s v="1425 Corporate Center Dr"/>
    <s v="San Diego, CA 92154"/>
    <n v="92154"/>
    <s v="S"/>
    <n v="32.572347000000001"/>
    <n v="-117.00385799999999"/>
    <s v="Roof_Flat"/>
    <n v="0.75"/>
    <m/>
    <s v=""/>
    <n v="0.75"/>
    <m/>
    <n v="0"/>
    <n v="82400"/>
    <s v="Roof_Flat"/>
    <s v="Medium"/>
    <n v="494400"/>
    <n v="0"/>
    <s v="ICA N/A"/>
    <m/>
    <x v="112"/>
    <m/>
    <m/>
    <x v="37"/>
    <m/>
  </r>
  <r>
    <s v="Global Plastics Sheeting"/>
    <s v="1425 Corporate Center Dr"/>
    <s v="San Diego, CA 92154"/>
    <n v="92154"/>
    <s v="S"/>
    <n v="32.571550000000002"/>
    <n v="-117.00390899999999"/>
    <s v="Roof_Flat"/>
    <n v="0.75"/>
    <m/>
    <s v=""/>
    <n v="0.75"/>
    <m/>
    <n v="0"/>
    <n v="84800"/>
    <s v="Roof_Flat"/>
    <s v="Medium"/>
    <n v="508800"/>
    <n v="0"/>
    <s v="ICA N/A"/>
    <m/>
    <x v="112"/>
    <m/>
    <m/>
    <x v="37"/>
    <m/>
  </r>
  <r>
    <s v="Zebra Technologies"/>
    <s v="1425 Corporate Center Dr"/>
    <s v="San Diego, CA 92154"/>
    <n v="92154"/>
    <s v="S"/>
    <n v="32.571956"/>
    <n v="-117.002015"/>
    <s v="Roof_Flat"/>
    <n v="0.75"/>
    <m/>
    <s v=""/>
    <n v="0.75"/>
    <m/>
    <n v="0"/>
    <n v="92900"/>
    <s v="Roof_Flat"/>
    <s v="Medium"/>
    <n v="557400"/>
    <n v="0"/>
    <s v="ICA N/A"/>
    <m/>
    <x v="112"/>
    <m/>
    <m/>
    <x v="37"/>
    <m/>
  </r>
  <r>
    <s v="Trepco West"/>
    <s v="1425 Corporate Center Dr"/>
    <s v="San Diego, CA 92154"/>
    <n v="92154"/>
    <s v="S"/>
    <n v="32.570135000000001"/>
    <n v="-117.00451200000001"/>
    <s v="Roof_Flat"/>
    <n v="0.75"/>
    <m/>
    <s v=""/>
    <n v="0.75"/>
    <m/>
    <n v="0"/>
    <n v="126000"/>
    <s v="Roof_Flat"/>
    <s v="Medium"/>
    <n v="756000"/>
    <n v="0"/>
    <s v="ICA N/A"/>
    <m/>
    <x v="112"/>
    <m/>
    <m/>
    <x v="37"/>
    <m/>
  </r>
  <r>
    <s v="ZZZ-END"/>
    <s v="ZZZ-END"/>
    <s v="ZZZ-END"/>
    <s v="ZZZ-END"/>
    <s v="ZZZ-END"/>
    <s v="ZZZ-END"/>
    <s v="ZZZ-END"/>
    <s v="ZZZ-END"/>
    <n v="1.5"/>
    <s v="ZZZ-END"/>
    <s v="ZZZ-END"/>
    <n v="1.25"/>
    <s v="ZZZ-END"/>
    <s v="ZZZ-END"/>
    <s v="ZZZ-END"/>
    <s v="ZZZ-END"/>
    <s v="ZZZ-END"/>
    <s v="ZZZ-END"/>
    <s v="ZZZ-END"/>
    <s v="ZZZ-END"/>
    <s v="ZZZ-END"/>
    <x v="116"/>
    <s v="ZZZ-END"/>
    <s v="ZZZ-END"/>
    <x v="39"/>
    <s v="ZZZ-END"/>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79FCC3D-3D8D-4F2F-83CF-6C159FD578F5}"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C182:F351" firstHeaderRow="0" firstDataRow="1" firstDataCol="1"/>
  <pivotFields count="26">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axis="axisRow" showAll="0">
      <items count="118">
        <item x="106"/>
        <item x="90"/>
        <item x="88"/>
        <item x="39"/>
        <item x="84"/>
        <item x="43"/>
        <item x="105"/>
        <item x="104"/>
        <item x="103"/>
        <item x="93"/>
        <item x="92"/>
        <item x="86"/>
        <item x="100"/>
        <item x="41"/>
        <item x="47"/>
        <item x="46"/>
        <item x="102"/>
        <item x="109"/>
        <item x="91"/>
        <item x="108"/>
        <item x="110"/>
        <item x="85"/>
        <item x="113"/>
        <item x="3"/>
        <item x="115"/>
        <item x="44"/>
        <item x="56"/>
        <item x="107"/>
        <item x="35"/>
        <item x="89"/>
        <item x="45"/>
        <item x="48"/>
        <item x="114"/>
        <item x="111"/>
        <item x="112"/>
        <item x="38"/>
        <item x="116"/>
        <item x="19"/>
        <item x="40"/>
        <item x="42"/>
        <item x="49"/>
        <item x="51"/>
        <item x="52"/>
        <item x="53"/>
        <item x="58"/>
        <item x="59"/>
        <item x="61"/>
        <item x="63"/>
        <item x="65"/>
        <item x="66"/>
        <item x="67"/>
        <item x="68"/>
        <item x="69"/>
        <item x="70"/>
        <item x="71"/>
        <item x="72"/>
        <item x="73"/>
        <item x="74"/>
        <item x="75"/>
        <item x="76"/>
        <item x="77"/>
        <item x="78"/>
        <item x="79"/>
        <item x="81"/>
        <item x="82"/>
        <item x="0"/>
        <item x="2"/>
        <item x="4"/>
        <item x="5"/>
        <item x="6"/>
        <item x="7"/>
        <item x="8"/>
        <item x="9"/>
        <item x="11"/>
        <item x="12"/>
        <item x="13"/>
        <item x="14"/>
        <item x="28"/>
        <item x="15"/>
        <item x="18"/>
        <item x="20"/>
        <item x="21"/>
        <item x="22"/>
        <item x="23"/>
        <item x="24"/>
        <item x="26"/>
        <item x="27"/>
        <item x="29"/>
        <item x="30"/>
        <item x="31"/>
        <item x="32"/>
        <item x="33"/>
        <item x="36"/>
        <item x="37"/>
        <item x="50"/>
        <item x="64"/>
        <item x="1"/>
        <item x="10"/>
        <item x="16"/>
        <item x="17"/>
        <item x="25"/>
        <item x="34"/>
        <item x="54"/>
        <item x="55"/>
        <item x="57"/>
        <item x="60"/>
        <item x="62"/>
        <item x="80"/>
        <item x="83"/>
        <item x="87"/>
        <item x="94"/>
        <item x="95"/>
        <item x="96"/>
        <item x="97"/>
        <item x="98"/>
        <item x="99"/>
        <item x="101"/>
        <item t="default"/>
      </items>
    </pivotField>
    <pivotField dataField="1" showAll="0"/>
    <pivotField dataField="1" showAll="0"/>
    <pivotField axis="axisRow" showAll="0" sortType="ascending">
      <items count="42">
        <item x="3"/>
        <item x="2"/>
        <item x="38"/>
        <item x="11"/>
        <item x="26"/>
        <item x="18"/>
        <item x="34"/>
        <item x="5"/>
        <item x="27"/>
        <item x="22"/>
        <item x="12"/>
        <item x="32"/>
        <item x="35"/>
        <item x="20"/>
        <item x="28"/>
        <item x="17"/>
        <item x="9"/>
        <item x="6"/>
        <item x="8"/>
        <item m="1" x="40"/>
        <item x="37"/>
        <item x="19"/>
        <item x="13"/>
        <item x="24"/>
        <item x="0"/>
        <item x="21"/>
        <item x="15"/>
        <item x="33"/>
        <item x="16"/>
        <item x="4"/>
        <item x="14"/>
        <item x="31"/>
        <item x="36"/>
        <item x="10"/>
        <item x="30"/>
        <item x="23"/>
        <item x="25"/>
        <item x="1"/>
        <item x="29"/>
        <item x="39"/>
        <item x="7"/>
        <item t="default"/>
      </items>
    </pivotField>
    <pivotField showAll="0"/>
  </pivotFields>
  <rowFields count="2">
    <field x="24"/>
    <field x="21"/>
  </rowFields>
  <rowItems count="169">
    <i>
      <x/>
    </i>
    <i r="1">
      <x v="67"/>
    </i>
    <i r="1">
      <x v="68"/>
    </i>
    <i r="1">
      <x v="90"/>
    </i>
    <i>
      <x v="1"/>
    </i>
    <i r="1">
      <x v="23"/>
    </i>
    <i r="1">
      <x v="66"/>
    </i>
    <i r="1">
      <x v="69"/>
    </i>
    <i r="1">
      <x v="70"/>
    </i>
    <i r="1">
      <x v="71"/>
    </i>
    <i r="1">
      <x v="72"/>
    </i>
    <i r="1">
      <x v="97"/>
    </i>
    <i>
      <x v="2"/>
    </i>
    <i r="1">
      <x v="22"/>
    </i>
    <i r="1">
      <x v="23"/>
    </i>
    <i r="1">
      <x v="24"/>
    </i>
    <i r="1">
      <x v="32"/>
    </i>
    <i>
      <x v="3"/>
    </i>
    <i r="1">
      <x v="91"/>
    </i>
    <i r="1">
      <x v="101"/>
    </i>
    <i>
      <x v="4"/>
    </i>
    <i r="1">
      <x v="63"/>
    </i>
    <i>
      <x v="5"/>
    </i>
    <i r="1">
      <x v="41"/>
    </i>
    <i r="1">
      <x v="42"/>
    </i>
    <i r="1">
      <x v="94"/>
    </i>
    <i>
      <x v="6"/>
    </i>
    <i r="1">
      <x/>
    </i>
    <i>
      <x v="7"/>
    </i>
    <i r="1">
      <x v="79"/>
    </i>
    <i r="1">
      <x v="98"/>
    </i>
    <i>
      <x v="8"/>
    </i>
    <i r="1">
      <x v="64"/>
    </i>
    <i>
      <x v="9"/>
    </i>
    <i r="1">
      <x v="35"/>
    </i>
    <i r="1">
      <x v="50"/>
    </i>
    <i r="1">
      <x v="51"/>
    </i>
    <i r="1">
      <x v="52"/>
    </i>
    <i>
      <x v="10"/>
    </i>
    <i r="1">
      <x v="13"/>
    </i>
    <i r="1">
      <x v="14"/>
    </i>
    <i r="1">
      <x v="15"/>
    </i>
    <i r="1">
      <x v="35"/>
    </i>
    <i r="1">
      <x v="38"/>
    </i>
    <i r="1">
      <x v="39"/>
    </i>
    <i r="1">
      <x v="92"/>
    </i>
    <i r="1">
      <x v="93"/>
    </i>
    <i>
      <x v="11"/>
    </i>
    <i r="1">
      <x v="116"/>
    </i>
    <i>
      <x v="12"/>
    </i>
    <i r="1">
      <x v="27"/>
    </i>
    <i>
      <x v="13"/>
    </i>
    <i r="1">
      <x v="26"/>
    </i>
    <i r="1">
      <x v="46"/>
    </i>
    <i r="1">
      <x v="104"/>
    </i>
    <i r="1">
      <x v="105"/>
    </i>
    <i r="1">
      <x v="106"/>
    </i>
    <i>
      <x v="14"/>
    </i>
    <i r="1">
      <x v="9"/>
    </i>
    <i r="1">
      <x v="10"/>
    </i>
    <i r="1">
      <x v="18"/>
    </i>
    <i r="1">
      <x v="35"/>
    </i>
    <i r="1">
      <x v="37"/>
    </i>
    <i>
      <x v="15"/>
    </i>
    <i r="1">
      <x v="31"/>
    </i>
    <i r="1">
      <x v="44"/>
    </i>
    <i r="1">
      <x v="45"/>
    </i>
    <i r="1">
      <x v="102"/>
    </i>
    <i r="1">
      <x v="103"/>
    </i>
    <i>
      <x v="16"/>
    </i>
    <i r="1">
      <x v="82"/>
    </i>
    <i>
      <x v="17"/>
    </i>
    <i r="1">
      <x v="99"/>
    </i>
    <i>
      <x v="18"/>
    </i>
    <i r="1">
      <x v="77"/>
    </i>
    <i r="1">
      <x v="80"/>
    </i>
    <i r="1">
      <x v="81"/>
    </i>
    <i r="1">
      <x v="83"/>
    </i>
    <i r="1">
      <x v="84"/>
    </i>
    <i>
      <x v="20"/>
    </i>
    <i r="1">
      <x v="34"/>
    </i>
    <i r="1">
      <x v="37"/>
    </i>
    <i>
      <x v="21"/>
    </i>
    <i r="1">
      <x v="35"/>
    </i>
    <i r="1">
      <x v="43"/>
    </i>
    <i r="1">
      <x v="47"/>
    </i>
    <i r="1">
      <x v="48"/>
    </i>
    <i r="1">
      <x v="49"/>
    </i>
    <i r="1">
      <x v="53"/>
    </i>
    <i r="1">
      <x v="54"/>
    </i>
    <i r="1">
      <x v="55"/>
    </i>
    <i r="1">
      <x v="56"/>
    </i>
    <i r="1">
      <x v="58"/>
    </i>
    <i>
      <x v="22"/>
    </i>
    <i r="1">
      <x v="35"/>
    </i>
    <i>
      <x v="23"/>
    </i>
    <i r="1">
      <x v="59"/>
    </i>
    <i r="1">
      <x v="62"/>
    </i>
    <i>
      <x v="24"/>
    </i>
    <i r="1">
      <x v="65"/>
    </i>
    <i r="1">
      <x v="87"/>
    </i>
    <i r="1">
      <x v="88"/>
    </i>
    <i r="1">
      <x v="89"/>
    </i>
    <i>
      <x v="25"/>
    </i>
    <i r="1">
      <x v="4"/>
    </i>
    <i r="1">
      <x v="11"/>
    </i>
    <i r="1">
      <x v="21"/>
    </i>
    <i r="1">
      <x v="95"/>
    </i>
    <i r="1">
      <x v="109"/>
    </i>
    <i>
      <x v="26"/>
    </i>
    <i r="1">
      <x v="25"/>
    </i>
    <i r="1">
      <x v="108"/>
    </i>
    <i>
      <x v="27"/>
    </i>
    <i r="1">
      <x v="16"/>
    </i>
    <i>
      <x v="28"/>
    </i>
    <i r="1">
      <x v="1"/>
    </i>
    <i r="1">
      <x v="2"/>
    </i>
    <i r="1">
      <x v="29"/>
    </i>
    <i r="1">
      <x v="30"/>
    </i>
    <i r="1">
      <x v="35"/>
    </i>
    <i>
      <x v="29"/>
    </i>
    <i r="1">
      <x v="73"/>
    </i>
    <i r="1">
      <x v="74"/>
    </i>
    <i r="1">
      <x v="75"/>
    </i>
    <i r="1">
      <x v="76"/>
    </i>
    <i>
      <x v="30"/>
    </i>
    <i r="1">
      <x v="3"/>
    </i>
    <i r="1">
      <x v="5"/>
    </i>
    <i r="1">
      <x v="38"/>
    </i>
    <i r="1">
      <x v="40"/>
    </i>
    <i>
      <x v="31"/>
    </i>
    <i r="1">
      <x v="6"/>
    </i>
    <i r="1">
      <x v="7"/>
    </i>
    <i r="1">
      <x v="8"/>
    </i>
    <i r="1">
      <x v="35"/>
    </i>
    <i r="1">
      <x v="113"/>
    </i>
    <i r="1">
      <x v="115"/>
    </i>
    <i>
      <x v="32"/>
    </i>
    <i r="1">
      <x v="17"/>
    </i>
    <i r="1">
      <x v="19"/>
    </i>
    <i r="1">
      <x v="20"/>
    </i>
    <i r="1">
      <x v="33"/>
    </i>
    <i r="1">
      <x v="35"/>
    </i>
    <i>
      <x v="33"/>
    </i>
    <i r="1">
      <x v="85"/>
    </i>
    <i r="1">
      <x v="86"/>
    </i>
    <i r="1">
      <x v="100"/>
    </i>
    <i>
      <x v="34"/>
    </i>
    <i r="1">
      <x v="112"/>
    </i>
    <i>
      <x v="35"/>
    </i>
    <i r="1">
      <x v="57"/>
    </i>
    <i>
      <x v="36"/>
    </i>
    <i r="1">
      <x v="12"/>
    </i>
    <i r="1">
      <x v="60"/>
    </i>
    <i r="1">
      <x v="61"/>
    </i>
    <i r="1">
      <x v="107"/>
    </i>
    <i>
      <x v="37"/>
    </i>
    <i r="1">
      <x v="28"/>
    </i>
    <i r="1">
      <x v="78"/>
    </i>
    <i r="1">
      <x v="96"/>
    </i>
    <i>
      <x v="38"/>
    </i>
    <i r="1">
      <x v="110"/>
    </i>
    <i r="1">
      <x v="111"/>
    </i>
    <i r="1">
      <x v="114"/>
    </i>
    <i>
      <x v="39"/>
    </i>
    <i r="1">
      <x v="36"/>
    </i>
    <i>
      <x v="40"/>
    </i>
    <i r="1">
      <x v="37"/>
    </i>
    <i t="grand">
      <x/>
    </i>
  </rowItems>
  <colFields count="1">
    <field x="-2"/>
  </colFields>
  <colItems count="3">
    <i>
      <x/>
    </i>
    <i i="1">
      <x v="1"/>
    </i>
    <i i="2">
      <x v="2"/>
    </i>
  </colItems>
  <dataFields count="3">
    <dataField name="Sum of Struc_W" fld="17" baseField="22" baseItem="0"/>
    <dataField name="Max of Ckt1_Cap_Avail" fld="22" subtotal="max" baseField="19" baseItem="0"/>
    <dataField name="Max of Ckt2_Cap_Avail" fld="23" subtotal="max" baseField="19"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H14" totalsRowShown="0" headerRowDxfId="8" dataDxfId="7" dataCellStyle="Comma">
  <tableColumns count="7">
    <tableColumn id="1" xr3:uid="{00000000-0010-0000-0000-000001000000}" name="High" dataDxfId="6" dataCellStyle="Comma"/>
    <tableColumn id="2" xr3:uid="{00000000-0010-0000-0000-000002000000}" name="Medium" dataDxfId="5" dataCellStyle="Comma"/>
    <tableColumn id="3" xr3:uid="{00000000-0010-0000-0000-000003000000}" name="Low" dataDxfId="4" dataCellStyle="Comma"/>
    <tableColumn id="4" xr3:uid="{00000000-0010-0000-0000-000004000000}" name="kml_text" dataDxfId="3" dataCellStyle="Comma"/>
    <tableColumn id="5" xr3:uid="{00000000-0010-0000-0000-000005000000}" name="High2" dataDxfId="2" dataCellStyle="Comma"/>
    <tableColumn id="6" xr3:uid="{00000000-0010-0000-0000-000006000000}" name="Medium2" dataDxfId="1" dataCellStyle="Comma"/>
    <tableColumn id="7" xr3:uid="{00000000-0010-0000-0000-000007000000}" name="Low2" dataDxfId="0" dataCellStyle="Comma"/>
  </tableColumns>
  <tableStyleInfo name="TableStyleLight1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18"/>
  <sheetViews>
    <sheetView workbookViewId="0">
      <selection activeCell="A19" sqref="A19"/>
    </sheetView>
  </sheetViews>
  <sheetFormatPr defaultColWidth="9.140625" defaultRowHeight="15" x14ac:dyDescent="0.25"/>
  <cols>
    <col min="1" max="1" width="16.140625" style="28" customWidth="1"/>
    <col min="2" max="2" width="73.28515625" style="29" customWidth="1"/>
    <col min="3" max="16384" width="9.140625" style="28"/>
  </cols>
  <sheetData>
    <row r="1" spans="1:2" ht="30" x14ac:dyDescent="0.25">
      <c r="B1" s="29" t="s">
        <v>325</v>
      </c>
    </row>
    <row r="2" spans="1:2" x14ac:dyDescent="0.25">
      <c r="B2" s="29" t="s">
        <v>81</v>
      </c>
    </row>
    <row r="4" spans="1:2" x14ac:dyDescent="0.25">
      <c r="A4" s="28" t="s">
        <v>82</v>
      </c>
      <c r="B4" s="29" t="s">
        <v>85</v>
      </c>
    </row>
    <row r="6" spans="1:2" ht="30" x14ac:dyDescent="0.25">
      <c r="A6" s="28" t="s">
        <v>294</v>
      </c>
      <c r="B6" s="29" t="s">
        <v>83</v>
      </c>
    </row>
    <row r="8" spans="1:2" ht="30" x14ac:dyDescent="0.25">
      <c r="A8" s="28" t="s">
        <v>295</v>
      </c>
      <c r="B8" s="29" t="s">
        <v>1377</v>
      </c>
    </row>
    <row r="10" spans="1:2" x14ac:dyDescent="0.25">
      <c r="A10" s="28" t="s">
        <v>84</v>
      </c>
      <c r="B10" s="29" t="s">
        <v>296</v>
      </c>
    </row>
    <row r="11" spans="1:2" x14ac:dyDescent="0.25">
      <c r="B11" s="37" t="s">
        <v>115</v>
      </c>
    </row>
    <row r="12" spans="1:2" x14ac:dyDescent="0.25">
      <c r="B12" s="14" t="s">
        <v>116</v>
      </c>
    </row>
    <row r="13" spans="1:2" ht="60" x14ac:dyDescent="0.25">
      <c r="B13" s="14" t="s">
        <v>117</v>
      </c>
    </row>
    <row r="15" spans="1:2" ht="30" x14ac:dyDescent="0.25">
      <c r="A15" s="28" t="s">
        <v>86</v>
      </c>
      <c r="B15" s="29" t="s">
        <v>1378</v>
      </c>
    </row>
    <row r="17" spans="1:2" ht="30" x14ac:dyDescent="0.25">
      <c r="A17" s="28" t="s">
        <v>87</v>
      </c>
      <c r="B17" s="29" t="s">
        <v>88</v>
      </c>
    </row>
    <row r="18" spans="1:2" x14ac:dyDescent="0.25">
      <c r="B18" s="29" t="s">
        <v>297</v>
      </c>
    </row>
  </sheetData>
  <pageMargins left="0.7" right="0.7" top="0.75" bottom="0.75" header="0.3" footer="0.3"/>
  <pageSetup orientation="portrait" r:id="rId1"/>
  <headerFooter>
    <oddHeader>&amp;C&amp;A</oddHeader>
    <oddFooter>&amp;L&amp;F&amp;RClean Coalition for SCE       &amp;P/&amp;N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Y355"/>
  <sheetViews>
    <sheetView showGridLines="0" tabSelected="1" zoomScale="90" zoomScaleNormal="90" workbookViewId="0">
      <pane xSplit="3" topLeftCell="D1" activePane="topRight" state="frozen"/>
      <selection pane="topRight" activeCell="E2" sqref="E2"/>
    </sheetView>
  </sheetViews>
  <sheetFormatPr defaultColWidth="8.85546875" defaultRowHeight="15" x14ac:dyDescent="0.25"/>
  <cols>
    <col min="1" max="1" width="15.5703125" customWidth="1"/>
    <col min="2" max="2" width="4.140625" style="6" hidden="1" customWidth="1"/>
    <col min="3" max="3" width="7.5703125" customWidth="1"/>
    <col min="4" max="4" width="6.7109375" style="4" customWidth="1"/>
    <col min="5" max="5" width="11.28515625" customWidth="1"/>
    <col min="6" max="6" width="13.85546875" customWidth="1"/>
    <col min="7" max="7" width="11.7109375" customWidth="1"/>
    <col min="8" max="8" width="14.42578125" customWidth="1"/>
    <col min="9" max="9" width="11.7109375" customWidth="1"/>
    <col min="10" max="10" width="13.42578125" customWidth="1"/>
    <col min="11" max="11" width="11.7109375" customWidth="1"/>
    <col min="12" max="12" width="13.140625" customWidth="1"/>
    <col min="13" max="13" width="2.140625" style="4" customWidth="1"/>
    <col min="14" max="14" width="11.7109375" customWidth="1"/>
    <col min="15" max="15" width="11.7109375" style="4" customWidth="1"/>
    <col min="16" max="16" width="12.42578125" style="4" customWidth="1"/>
    <col min="17" max="17" width="13.85546875" style="4" customWidth="1"/>
    <col min="18" max="18" width="11.7109375" customWidth="1"/>
    <col min="19" max="19" width="10.85546875" style="4" customWidth="1"/>
    <col min="20" max="20" width="12.7109375" customWidth="1"/>
    <col min="21" max="21" width="11.7109375" style="4" customWidth="1"/>
    <col min="22" max="22" width="12.42578125" customWidth="1"/>
    <col min="23" max="23" width="9.42578125" customWidth="1"/>
    <col min="24" max="24" width="12.140625" style="4" customWidth="1"/>
    <col min="25" max="25" width="9.42578125" style="4" customWidth="1"/>
  </cols>
  <sheetData>
    <row r="1" spans="1:25" s="4" customFormat="1" x14ac:dyDescent="0.25">
      <c r="A1" s="2" t="s">
        <v>1524</v>
      </c>
      <c r="B1" s="6"/>
    </row>
    <row r="2" spans="1:25" s="4" customFormat="1" ht="18.75" x14ac:dyDescent="0.3">
      <c r="A2" s="65" t="s">
        <v>321</v>
      </c>
      <c r="B2" s="6"/>
    </row>
    <row r="3" spans="1:25" s="4" customFormat="1" x14ac:dyDescent="0.25">
      <c r="B3" s="6"/>
      <c r="C3" s="154" t="s">
        <v>1362</v>
      </c>
      <c r="D3" s="145"/>
      <c r="F3" s="159">
        <v>1904</v>
      </c>
      <c r="G3" s="4" t="s">
        <v>1398</v>
      </c>
    </row>
    <row r="4" spans="1:25" s="4" customFormat="1" hidden="1" x14ac:dyDescent="0.25">
      <c r="B4" s="152" t="s">
        <v>1313</v>
      </c>
      <c r="C4" s="154" t="s">
        <v>1360</v>
      </c>
      <c r="D4" s="145"/>
      <c r="F4" s="159">
        <f ca="1">$F$3*F14/1000</f>
        <v>272999708.80000001</v>
      </c>
      <c r="G4" s="4" t="s">
        <v>1359</v>
      </c>
    </row>
    <row r="5" spans="1:25" s="4" customFormat="1" hidden="1" x14ac:dyDescent="0.25">
      <c r="B5" s="152" t="s">
        <v>1312</v>
      </c>
      <c r="C5" s="154" t="s">
        <v>1375</v>
      </c>
      <c r="D5" s="145"/>
      <c r="F5" s="159">
        <f ca="1">$F$3*F15/1000</f>
        <v>676435641.27999997</v>
      </c>
      <c r="G5" s="4" t="s">
        <v>1359</v>
      </c>
    </row>
    <row r="6" spans="1:25" s="4" customFormat="1" x14ac:dyDescent="0.25">
      <c r="C6" s="154" t="s">
        <v>1361</v>
      </c>
      <c r="D6" s="145"/>
      <c r="F6" s="159">
        <f ca="1">$F$3*F12/1000</f>
        <v>949435350.08000004</v>
      </c>
      <c r="G6" s="151" t="s">
        <v>1359</v>
      </c>
      <c r="N6" s="4" t="s">
        <v>1374</v>
      </c>
      <c r="O6" s="162">
        <f ca="1">O12/$F$12</f>
        <v>0.23990714023951965</v>
      </c>
      <c r="P6" s="6"/>
      <c r="Q6" s="162">
        <f ca="1">Q12/$F$12</f>
        <v>0.7294613396706191</v>
      </c>
      <c r="R6" s="6"/>
      <c r="S6" s="162">
        <f ca="1">S12/$F$12</f>
        <v>2.8454655704281104E-2</v>
      </c>
      <c r="T6" s="6"/>
      <c r="U6" s="162">
        <f ca="1">U12/$F$12</f>
        <v>2.1768643855801777E-3</v>
      </c>
      <c r="V6" s="6"/>
      <c r="W6" s="162">
        <f ca="1">W12/$F$12</f>
        <v>2.2460507709348679E-3</v>
      </c>
      <c r="Y6" s="162">
        <f ca="1">Y12/$F$12</f>
        <v>0</v>
      </c>
    </row>
    <row r="7" spans="1:25" s="4" customFormat="1" x14ac:dyDescent="0.25">
      <c r="B7" s="6"/>
      <c r="D7" s="145"/>
    </row>
    <row r="8" spans="1:25" s="4" customFormat="1" ht="19.5" thickBot="1" x14ac:dyDescent="0.35">
      <c r="B8" s="137"/>
      <c r="D8" s="65" t="s">
        <v>318</v>
      </c>
      <c r="N8" s="65" t="s">
        <v>68</v>
      </c>
    </row>
    <row r="9" spans="1:25" s="38" customFormat="1" x14ac:dyDescent="0.25">
      <c r="B9" s="57"/>
      <c r="D9" s="86" t="s">
        <v>316</v>
      </c>
      <c r="E9" s="85" t="s">
        <v>316</v>
      </c>
      <c r="F9" s="88" t="s">
        <v>39</v>
      </c>
      <c r="G9" s="24" t="str">
        <f>"PV W_" &amp;DC_AC_Text &amp;" &gt;="</f>
        <v>PV W_AC &gt;=</v>
      </c>
      <c r="H9" s="83">
        <v>1000000</v>
      </c>
      <c r="I9" s="68" t="str">
        <f>"&gt; and &gt;="</f>
        <v>&gt; and &gt;=</v>
      </c>
      <c r="J9" s="83">
        <v>500000</v>
      </c>
      <c r="K9" s="25" t="s">
        <v>53</v>
      </c>
      <c r="L9" s="83">
        <f>J9</f>
        <v>500000</v>
      </c>
      <c r="M9" s="18"/>
      <c r="N9" s="26" t="s">
        <v>37</v>
      </c>
      <c r="O9" s="23" t="s">
        <v>39</v>
      </c>
      <c r="P9" s="26" t="s">
        <v>3</v>
      </c>
      <c r="Q9" s="23" t="s">
        <v>39</v>
      </c>
      <c r="R9" s="26" t="s">
        <v>36</v>
      </c>
      <c r="S9" s="23" t="s">
        <v>39</v>
      </c>
      <c r="T9" s="26" t="s">
        <v>134</v>
      </c>
      <c r="U9" s="23" t="s">
        <v>39</v>
      </c>
      <c r="V9" s="26" t="s">
        <v>304</v>
      </c>
      <c r="W9" s="23" t="s">
        <v>39</v>
      </c>
      <c r="X9" s="26" t="s">
        <v>5</v>
      </c>
      <c r="Y9" s="23" t="s">
        <v>39</v>
      </c>
    </row>
    <row r="10" spans="1:25" hidden="1" x14ac:dyDescent="0.25">
      <c r="A10" s="15" t="s">
        <v>80</v>
      </c>
      <c r="B10" s="20"/>
      <c r="C10" s="15"/>
      <c r="D10" s="15"/>
      <c r="E10" s="16" t="e">
        <f>#REF!+#REF!-#REF!</f>
        <v>#REF!</v>
      </c>
      <c r="F10" s="17" t="e">
        <f>#REF!+#REF!-#REF!</f>
        <v>#REF!</v>
      </c>
      <c r="G10" s="16" t="e">
        <f>#REF!+#REF!-#REF!</f>
        <v>#REF!</v>
      </c>
      <c r="H10" s="17" t="e">
        <f>#REF!+#REF!-#REF!</f>
        <v>#REF!</v>
      </c>
      <c r="I10" s="16" t="e">
        <f>#REF!+#REF!-#REF!</f>
        <v>#REF!</v>
      </c>
      <c r="J10" s="17" t="e">
        <f>#REF!+#REF!-#REF!</f>
        <v>#REF!</v>
      </c>
      <c r="K10" s="16" t="e">
        <f>#REF!+#REF!-#REF!</f>
        <v>#REF!</v>
      </c>
      <c r="L10" s="17" t="e">
        <f>#REF!+#REF!-#REF!</f>
        <v>#REF!</v>
      </c>
      <c r="M10" s="15"/>
      <c r="N10" s="16" t="e">
        <f>#REF!+#REF!-#REF!</f>
        <v>#REF!</v>
      </c>
      <c r="O10" s="17" t="e">
        <f>#REF!+#REF!-#REF!</f>
        <v>#REF!</v>
      </c>
      <c r="P10" s="16" t="e">
        <f>#REF!+#REF!-#REF!</f>
        <v>#REF!</v>
      </c>
      <c r="Q10" s="17" t="e">
        <f>#REF!+#REF!-#REF!</f>
        <v>#REF!</v>
      </c>
      <c r="R10" s="16" t="e">
        <f>#REF!+#REF!-#REF!</f>
        <v>#REF!</v>
      </c>
      <c r="S10" s="17" t="e">
        <f>#REF!+#REF!-#REF!</f>
        <v>#REF!</v>
      </c>
      <c r="T10" s="16" t="e">
        <f>#REF!+#REF!-#REF!</f>
        <v>#REF!</v>
      </c>
      <c r="U10" s="17" t="e">
        <f>#REF!+#REF!-#REF!</f>
        <v>#REF!</v>
      </c>
      <c r="V10" s="19"/>
      <c r="W10" s="19"/>
      <c r="X10" s="16" t="e">
        <f>#REF!+#REF!-#REF!</f>
        <v>#REF!</v>
      </c>
      <c r="Y10" s="17" t="e">
        <f>#REF!+#REF!-#REF!</f>
        <v>#REF!</v>
      </c>
    </row>
    <row r="11" spans="1:25" s="4" customFormat="1" ht="33" customHeight="1" thickBot="1" x14ac:dyDescent="0.3">
      <c r="B11" s="6"/>
      <c r="D11" s="3" t="s">
        <v>303</v>
      </c>
      <c r="E11" s="3" t="s">
        <v>317</v>
      </c>
      <c r="F11" s="6"/>
      <c r="G11" s="3" t="s">
        <v>317</v>
      </c>
      <c r="H11" s="6"/>
      <c r="I11" s="3" t="s">
        <v>317</v>
      </c>
      <c r="J11" s="6"/>
      <c r="K11" s="3" t="s">
        <v>317</v>
      </c>
      <c r="L11" s="6"/>
      <c r="N11"/>
      <c r="P11"/>
      <c r="T11"/>
    </row>
    <row r="12" spans="1:25" s="2" customFormat="1" ht="16.5" thickBot="1" x14ac:dyDescent="0.3">
      <c r="B12" s="138"/>
      <c r="C12" s="146" t="s">
        <v>1358</v>
      </c>
      <c r="D12" s="144">
        <f ca="1">COUNTIFS(Site_Sum_W,"&gt;0")</f>
        <v>157</v>
      </c>
      <c r="E12" s="84">
        <f ca="1">COUNTIFS(Struc_W,"&gt;0")</f>
        <v>745</v>
      </c>
      <c r="F12" s="87">
        <f ca="1">SUM(Struc_W)</f>
        <v>498653020</v>
      </c>
      <c r="G12" s="12">
        <f ca="1">COUNTIFS(Struc_W,"&gt;=" &amp;TEXT(H$9,"0"))</f>
        <v>148</v>
      </c>
      <c r="H12" s="13">
        <f ca="1">SUMIFS(Struc_W,Struc_W,"&gt;=" &amp;TEXT(H$9,"0"))</f>
        <v>254995800</v>
      </c>
      <c r="I12" s="12">
        <f ca="1">COUNTIFS(Struc_W,"&lt;" &amp;TEXT(H$9,"0"),Struc_W,"&gt;=" &amp;TEXT($J$9,"0"))</f>
        <v>208</v>
      </c>
      <c r="J12" s="13">
        <f ca="1">SUMIFS(Struc_W,Struc_W,"&lt;" &amp;TEXT(H$9,"0"),Struc_W,"&gt;=" &amp;TEXT(J$9,"0"))</f>
        <v>144154100</v>
      </c>
      <c r="K12" s="12">
        <f ca="1">COUNTIFS(Struc_W,"&lt;" &amp;TEXT(J$9,"0"),Struc_W,"&gt;0")</f>
        <v>389</v>
      </c>
      <c r="L12" s="13">
        <f ca="1">SUMIFS(Struc_W,Struc_W,"&lt;" &amp;TEXT(J$9,"0"))</f>
        <v>99503120</v>
      </c>
      <c r="M12" s="40"/>
      <c r="N12" s="12">
        <f ca="1">COUNTIFS(PV_Type,$N$9)</f>
        <v>237</v>
      </c>
      <c r="O12" s="13">
        <f ca="1">SUMIFS(Struc_W,PV_Type,$N$9)</f>
        <v>119630420</v>
      </c>
      <c r="P12" s="12">
        <f ca="1">COUNTIFS(PV_Type,$P$9)</f>
        <v>478</v>
      </c>
      <c r="Q12" s="13">
        <f ca="1">SUMIFS(Struc_W,PV_Type,$P$9)</f>
        <v>363748100</v>
      </c>
      <c r="R12" s="12">
        <f ca="1">COUNTIFS(PV_Type,$R$9)</f>
        <v>25</v>
      </c>
      <c r="S12" s="13">
        <f ca="1">SUMIFS(Struc_W,PV_Type,$R$9)</f>
        <v>14189000</v>
      </c>
      <c r="T12" s="12">
        <f ca="1">COUNTIFS(PV_Type,$T$9)</f>
        <v>5</v>
      </c>
      <c r="U12" s="13">
        <f ca="1">SUMIFS(Struc_W,PV_Type,$T$9)</f>
        <v>1085500</v>
      </c>
      <c r="V12" s="12">
        <f ca="1">COUNTIFS(Map_Sym,$V$9)</f>
        <v>1</v>
      </c>
      <c r="W12" s="13">
        <f ca="1">SUMIFS(Struc_W,Map_Sym,$V$9)</f>
        <v>1120000</v>
      </c>
      <c r="X12" s="12">
        <f ca="1">COUNTIFS(PV_Type,$X$9)</f>
        <v>0</v>
      </c>
      <c r="Y12" s="13">
        <f ca="1">SUMIFS(Struc_W,PV_Type,$X$9)</f>
        <v>0</v>
      </c>
    </row>
    <row r="13" spans="1:25" s="4" customFormat="1" x14ac:dyDescent="0.25">
      <c r="B13" s="6"/>
      <c r="D13" s="145"/>
    </row>
    <row r="14" spans="1:25" s="4" customFormat="1" ht="15.75" hidden="1" thickBot="1" x14ac:dyDescent="0.3">
      <c r="B14" s="152" t="s">
        <v>1313</v>
      </c>
      <c r="C14" s="154" t="s">
        <v>1360</v>
      </c>
      <c r="D14" s="144">
        <f t="shared" ref="D14:L15" ca="1" si="0">SUMIFS(D$18:D$118,$B$18:$B$118,$B14)</f>
        <v>44</v>
      </c>
      <c r="E14" s="84">
        <f t="shared" ca="1" si="0"/>
        <v>269</v>
      </c>
      <c r="F14" s="87">
        <f t="shared" ca="1" si="0"/>
        <v>143382200</v>
      </c>
      <c r="G14" s="12">
        <f t="shared" ca="1" si="0"/>
        <v>34</v>
      </c>
      <c r="H14" s="13">
        <f t="shared" ca="1" si="0"/>
        <v>51604000</v>
      </c>
      <c r="I14" s="12">
        <f t="shared" ca="1" si="0"/>
        <v>76</v>
      </c>
      <c r="J14" s="13">
        <f t="shared" ca="1" si="0"/>
        <v>51701600</v>
      </c>
      <c r="K14" s="12">
        <f t="shared" ca="1" si="0"/>
        <v>159</v>
      </c>
      <c r="L14" s="13">
        <f t="shared" ca="1" si="0"/>
        <v>40076600</v>
      </c>
      <c r="M14" s="40"/>
      <c r="N14" s="12">
        <f t="shared" ref="N14:Y15" ca="1" si="1">SUMIFS(N$18:N$118,$B$18:$B$118,$B14)</f>
        <v>73</v>
      </c>
      <c r="O14" s="13">
        <f t="shared" ca="1" si="1"/>
        <v>30924600</v>
      </c>
      <c r="P14" s="12">
        <f t="shared" ca="1" si="1"/>
        <v>191</v>
      </c>
      <c r="Q14" s="13">
        <f t="shared" ca="1" si="1"/>
        <v>110346600</v>
      </c>
      <c r="R14" s="12">
        <f t="shared" ca="1" si="1"/>
        <v>2</v>
      </c>
      <c r="S14" s="13">
        <f t="shared" ca="1" si="1"/>
        <v>1596000</v>
      </c>
      <c r="T14" s="12">
        <f t="shared" ca="1" si="1"/>
        <v>3</v>
      </c>
      <c r="U14" s="13">
        <f t="shared" ca="1" si="1"/>
        <v>515000</v>
      </c>
      <c r="V14" s="12">
        <f t="shared" ca="1" si="1"/>
        <v>1</v>
      </c>
      <c r="W14" s="13">
        <f t="shared" ca="1" si="1"/>
        <v>1120000</v>
      </c>
      <c r="X14" s="12">
        <f t="shared" ca="1" si="1"/>
        <v>0</v>
      </c>
      <c r="Y14" s="13">
        <f t="shared" ca="1" si="1"/>
        <v>0</v>
      </c>
    </row>
    <row r="15" spans="1:25" s="4" customFormat="1" ht="15.75" hidden="1" thickBot="1" x14ac:dyDescent="0.3">
      <c r="B15" s="152" t="s">
        <v>1312</v>
      </c>
      <c r="C15" s="154" t="s">
        <v>1375</v>
      </c>
      <c r="D15" s="144">
        <f t="shared" ca="1" si="0"/>
        <v>113</v>
      </c>
      <c r="E15" s="84">
        <f t="shared" ca="1" si="0"/>
        <v>476</v>
      </c>
      <c r="F15" s="87">
        <f t="shared" ca="1" si="0"/>
        <v>355270820</v>
      </c>
      <c r="G15" s="12">
        <f t="shared" ca="1" si="0"/>
        <v>114</v>
      </c>
      <c r="H15" s="13">
        <f t="shared" ca="1" si="0"/>
        <v>203391800</v>
      </c>
      <c r="I15" s="12">
        <f t="shared" ca="1" si="0"/>
        <v>132</v>
      </c>
      <c r="J15" s="13">
        <f t="shared" ca="1" si="0"/>
        <v>92452500</v>
      </c>
      <c r="K15" s="12">
        <f t="shared" ca="1" si="0"/>
        <v>230</v>
      </c>
      <c r="L15" s="13">
        <f t="shared" ca="1" si="0"/>
        <v>59426520</v>
      </c>
      <c r="M15" s="40"/>
      <c r="N15" s="12">
        <f t="shared" ca="1" si="1"/>
        <v>164</v>
      </c>
      <c r="O15" s="13">
        <f t="shared" ca="1" si="1"/>
        <v>88705820</v>
      </c>
      <c r="P15" s="12">
        <f t="shared" ca="1" si="1"/>
        <v>287</v>
      </c>
      <c r="Q15" s="13">
        <f t="shared" ca="1" si="1"/>
        <v>253401500</v>
      </c>
      <c r="R15" s="12">
        <f t="shared" ca="1" si="1"/>
        <v>23</v>
      </c>
      <c r="S15" s="13">
        <f t="shared" ca="1" si="1"/>
        <v>12593000</v>
      </c>
      <c r="T15" s="12">
        <f t="shared" ca="1" si="1"/>
        <v>2</v>
      </c>
      <c r="U15" s="13">
        <f t="shared" ca="1" si="1"/>
        <v>570500</v>
      </c>
      <c r="V15" s="12">
        <f t="shared" ca="1" si="1"/>
        <v>0</v>
      </c>
      <c r="W15" s="13">
        <f t="shared" ca="1" si="1"/>
        <v>0</v>
      </c>
      <c r="X15" s="12">
        <f t="shared" ca="1" si="1"/>
        <v>0</v>
      </c>
      <c r="Y15" s="13">
        <f t="shared" ca="1" si="1"/>
        <v>0</v>
      </c>
    </row>
    <row r="16" spans="1:25" hidden="1" x14ac:dyDescent="0.25">
      <c r="D16" s="145"/>
      <c r="P16"/>
      <c r="T16" s="4"/>
      <c r="V16" s="4"/>
      <c r="W16" s="4"/>
    </row>
    <row r="17" spans="1:25" ht="15.75" thickBot="1" x14ac:dyDescent="0.3">
      <c r="A17" s="110" t="s">
        <v>683</v>
      </c>
      <c r="B17" s="139" t="s">
        <v>1311</v>
      </c>
      <c r="C17" s="111" t="s">
        <v>682</v>
      </c>
      <c r="D17" s="157" t="str">
        <f>D11</f>
        <v>Sites</v>
      </c>
      <c r="E17" s="157" t="str">
        <f>E11</f>
        <v>Structures</v>
      </c>
      <c r="F17" s="157"/>
      <c r="G17" s="157" t="str">
        <f>G11</f>
        <v>Structures</v>
      </c>
      <c r="H17" s="157"/>
      <c r="I17" s="157" t="str">
        <f>I11</f>
        <v>Structures</v>
      </c>
      <c r="J17" s="157"/>
      <c r="K17" s="157" t="str">
        <f>K11</f>
        <v>Structures</v>
      </c>
      <c r="L17" s="157"/>
      <c r="M17" s="156"/>
      <c r="N17" s="156"/>
      <c r="O17" s="156"/>
      <c r="P17" s="156"/>
      <c r="Q17" s="156"/>
      <c r="R17" s="156"/>
      <c r="S17" s="156"/>
      <c r="T17" s="156"/>
      <c r="U17" s="156"/>
      <c r="V17" s="156"/>
      <c r="W17" s="156"/>
      <c r="X17" s="156"/>
      <c r="Y17" s="156"/>
    </row>
    <row r="18" spans="1:25" s="4" customFormat="1" ht="15.75" thickBot="1" x14ac:dyDescent="0.3">
      <c r="A18" s="4">
        <v>92037</v>
      </c>
      <c r="B18" s="6" t="s">
        <v>1312</v>
      </c>
      <c r="C18" s="6">
        <f ca="1">_xlfn.RANK.EQ(F18,$F$18:$F$118,0)</f>
        <v>19</v>
      </c>
      <c r="D18" s="144">
        <f t="shared" ref="D18:D51" ca="1" si="2">COUNTIFS(Site_Sum_W,"&gt;0",ZIP_5,$A18)</f>
        <v>4</v>
      </c>
      <c r="E18" s="84">
        <f t="shared" ref="E18:E51" ca="1" si="3">COUNTIFS(Struc_W,"&gt;0",ZIP_5,$A18)</f>
        <v>12</v>
      </c>
      <c r="F18" s="92">
        <f t="shared" ref="F18:F51" ca="1" si="4">SUMIFS(Struc_W,ZIP_5,$A18)</f>
        <v>7871000</v>
      </c>
      <c r="G18" s="12">
        <f t="shared" ref="G18:G51" ca="1" si="5">COUNTIFS(ZIP_5,$A18,Struc_W,"&gt;=" &amp;TEXT(H$9,"0"))</f>
        <v>2</v>
      </c>
      <c r="H18" s="91">
        <f t="shared" ref="H18:H51" ca="1" si="6">SUMIFS(Struc_W,ZIP_5,$A18,Struc_W,"&gt;=" &amp;TEXT(H$9,"0"))</f>
        <v>2740000</v>
      </c>
      <c r="I18" s="12">
        <f t="shared" ref="I18:I51" ca="1" si="7">COUNTIFS(ZIP_5,$A18,Struc_W,"&lt;" &amp;TEXT(H$9,"0"),Struc_W,"&gt;=" &amp;TEXT($J$9,"0"))</f>
        <v>6</v>
      </c>
      <c r="J18" s="91">
        <f t="shared" ref="J18:J51" ca="1" si="8">SUMIFS(Struc_W,ZIP_5,$A18,Struc_W,"&lt;" &amp;TEXT(H$9,"0"),Struc_W,"&gt;=" &amp;TEXT($J$9,"0"))</f>
        <v>4060000</v>
      </c>
      <c r="K18" s="12">
        <f t="shared" ref="K18:K51" ca="1" si="9">COUNTIFS(ZIP_5,$A18,Struc_W,"&lt;"&amp;TEXT(L$9,"0"),Struc_W,"&gt;0")</f>
        <v>4</v>
      </c>
      <c r="L18" s="91">
        <f t="shared" ref="L18:L51" ca="1" si="10">SUMIFS(Struc_W,ZIP_5,$A18,Struc_W,"&lt;" &amp;TEXT(L$9,"0"))</f>
        <v>1071000</v>
      </c>
      <c r="N18" s="12">
        <f t="shared" ref="N18:N51" ca="1" si="11">COUNTIFS(ZIP_5,$A18,PV_Type,N$9)</f>
        <v>3</v>
      </c>
      <c r="O18" s="91">
        <f t="shared" ref="O18:O51" ca="1" si="12">SUMIFS(Struc_W,ZIP_5,$A18,PV_Type,N$9)</f>
        <v>1746000</v>
      </c>
      <c r="P18" s="12">
        <f t="shared" ref="P18:P51" ca="1" si="13">COUNTIFS(ZIP_5,$A18,PV_Type,P$9)</f>
        <v>9</v>
      </c>
      <c r="Q18" s="91">
        <f t="shared" ref="Q18:Q51" ca="1" si="14">SUMIFS(Struc_W,ZIP_5,$A18,PV_Type,P$9)</f>
        <v>6125000</v>
      </c>
      <c r="R18" s="12">
        <f t="shared" ref="R18:R51" ca="1" si="15">COUNTIFS(ZIP_5,$A18,PV_Type,R$9)</f>
        <v>0</v>
      </c>
      <c r="S18" s="91">
        <f t="shared" ref="S18:S51" ca="1" si="16">SUMIFS(Struc_W,ZIP_5,$A18,PV_Type,R$9)</f>
        <v>0</v>
      </c>
      <c r="T18" s="12">
        <f t="shared" ref="T18:T51" ca="1" si="17">COUNTIFS(ZIP_5,$A18,PV_Type,T$9)</f>
        <v>0</v>
      </c>
      <c r="U18" s="91">
        <f t="shared" ref="U18:U51" ca="1" si="18">SUMIFS(Struc_W,ZIP_5,$A18,PV_Type,T$9)</f>
        <v>0</v>
      </c>
      <c r="V18" s="12">
        <f t="shared" ref="V18:V51" ca="1" si="19">COUNTIFS(ZIP_5,$A18,Map_Sym,V$9)</f>
        <v>0</v>
      </c>
      <c r="W18" s="91">
        <f t="shared" ref="W18:W51" ca="1" si="20">SUMIFS(Struc_W,ZIP_5,$A18,Map_Sym,V$9)</f>
        <v>0</v>
      </c>
      <c r="X18" s="12">
        <f t="shared" ref="X18:X49" ca="1" si="21">COUNTIFS(ZIP_5,$A18,PV_Type,X$9)</f>
        <v>0</v>
      </c>
      <c r="Y18" s="91">
        <f t="shared" ref="Y18:Y49" ca="1" si="22">SUMIFS(Struc_W,ZIP_5,$A18,PV_Type,X$9)</f>
        <v>0</v>
      </c>
    </row>
    <row r="19" spans="1:25" s="4" customFormat="1" ht="15.75" thickBot="1" x14ac:dyDescent="0.3">
      <c r="A19" s="4">
        <v>92093</v>
      </c>
      <c r="B19" s="6" t="s">
        <v>1312</v>
      </c>
      <c r="C19" s="6">
        <f ca="1">_xlfn.RANK.EQ(F19,$F$18:$F$118,0)</f>
        <v>11</v>
      </c>
      <c r="D19" s="144">
        <f t="shared" ca="1" si="2"/>
        <v>1</v>
      </c>
      <c r="E19" s="84">
        <f t="shared" ca="1" si="3"/>
        <v>28</v>
      </c>
      <c r="F19" s="92">
        <f t="shared" ca="1" si="4"/>
        <v>17815000</v>
      </c>
      <c r="G19" s="12">
        <f ca="1">COUNTIFS(ZIP_5,$A19,Struc_W,"&gt;=" &amp;TEXT(H$9,"0"))</f>
        <v>6</v>
      </c>
      <c r="H19" s="91">
        <f t="shared" ca="1" si="6"/>
        <v>6818000</v>
      </c>
      <c r="I19" s="12">
        <f ca="1">COUNTIFS(ZIP_5,$A19,Struc_W,"&lt;" &amp;TEXT(H$9,"0"),Struc_W,"&gt;=" &amp;TEXT($J$9,"0"))</f>
        <v>9</v>
      </c>
      <c r="J19" s="91">
        <f ca="1">SUMIFS(Struc_W,ZIP_5,$A19,Struc_W,"&lt;" &amp;TEXT(H$9,"0"),Struc_W,"&gt;=" &amp;TEXT($J$9,"0"))</f>
        <v>6489000</v>
      </c>
      <c r="K19" s="12">
        <f ca="1">COUNTIFS(ZIP_5,$A19,Struc_W,"&lt;"&amp;TEXT(L$9,"0"),Struc_W,"&gt;0")</f>
        <v>13</v>
      </c>
      <c r="L19" s="91">
        <f t="shared" ca="1" si="10"/>
        <v>4508000</v>
      </c>
      <c r="N19" s="12">
        <f t="shared" ca="1" si="11"/>
        <v>0</v>
      </c>
      <c r="O19" s="91">
        <f ca="1">SUMIFS(Struc_W,ZIP_5,$A19,PV_Type,N$9)</f>
        <v>0</v>
      </c>
      <c r="P19" s="12">
        <f t="shared" ca="1" si="13"/>
        <v>25</v>
      </c>
      <c r="Q19" s="91">
        <f ca="1">SUMIFS(Struc_W,ZIP_5,$A19,PV_Type,P$9)</f>
        <v>16674000</v>
      </c>
      <c r="R19" s="12">
        <f t="shared" ca="1" si="15"/>
        <v>3</v>
      </c>
      <c r="S19" s="91">
        <f ca="1">SUMIFS(Struc_W,ZIP_5,$A19,PV_Type,R$9)</f>
        <v>1141000</v>
      </c>
      <c r="T19" s="12">
        <f t="shared" ca="1" si="17"/>
        <v>0</v>
      </c>
      <c r="U19" s="91">
        <f ca="1">SUMIFS(Struc_W,ZIP_5,$A19,PV_Type,T$9)</f>
        <v>0</v>
      </c>
      <c r="V19" s="12">
        <f t="shared" ca="1" si="19"/>
        <v>0</v>
      </c>
      <c r="W19" s="91">
        <f ca="1">SUMIFS(Struc_W,ZIP_5,$A19,Map_Sym,V$9)</f>
        <v>0</v>
      </c>
      <c r="X19" s="12">
        <f t="shared" ca="1" si="21"/>
        <v>0</v>
      </c>
      <c r="Y19" s="91">
        <f t="shared" ca="1" si="22"/>
        <v>0</v>
      </c>
    </row>
    <row r="20" spans="1:25" s="4" customFormat="1" ht="15.75" thickBot="1" x14ac:dyDescent="0.3">
      <c r="A20" s="4">
        <v>92101</v>
      </c>
      <c r="B20" s="6" t="s">
        <v>1312</v>
      </c>
      <c r="C20" s="6">
        <f ca="1">_xlfn.RANK.EQ(F20,$F$18:$F$118,0)</f>
        <v>4</v>
      </c>
      <c r="D20" s="144">
        <f t="shared" ca="1" si="2"/>
        <v>9</v>
      </c>
      <c r="E20" s="84">
        <f t="shared" ca="1" si="3"/>
        <v>24</v>
      </c>
      <c r="F20" s="92">
        <f t="shared" ca="1" si="4"/>
        <v>40418000</v>
      </c>
      <c r="G20" s="12">
        <f ca="1">COUNTIFS(ZIP_5,$A20,Struc_W,"&gt;=" &amp;TEXT(H$9,"0"))</f>
        <v>11</v>
      </c>
      <c r="H20" s="91">
        <f t="shared" ca="1" si="6"/>
        <v>31850000</v>
      </c>
      <c r="I20" s="12">
        <f ca="1">COUNTIFS(ZIP_5,$A20,Struc_W,"&lt;" &amp;TEXT(H$9,"0"),Struc_W,"&gt;=" &amp;TEXT($J$9,"0"))</f>
        <v>11</v>
      </c>
      <c r="J20" s="91">
        <f ca="1">SUMIFS(Struc_W,ZIP_5,$A20,Struc_W,"&lt;" &amp;TEXT(H$9,"0"),Struc_W,"&gt;=" &amp;TEXT($J$9,"0"))</f>
        <v>7798000</v>
      </c>
      <c r="K20" s="12">
        <f ca="1">COUNTIFS(ZIP_5,$A20,Struc_W,"&lt;"&amp;TEXT(L$9,"0"),Struc_W,"&gt;0")</f>
        <v>2</v>
      </c>
      <c r="L20" s="91">
        <f t="shared" ca="1" si="10"/>
        <v>770000</v>
      </c>
      <c r="N20" s="12">
        <f t="shared" ca="1" si="11"/>
        <v>4</v>
      </c>
      <c r="O20" s="91">
        <f ca="1">SUMIFS(Struc_W,ZIP_5,$A20,PV_Type,N$9)</f>
        <v>5040000</v>
      </c>
      <c r="P20" s="12">
        <f t="shared" ca="1" si="13"/>
        <v>18</v>
      </c>
      <c r="Q20" s="91">
        <f ca="1">SUMIFS(Struc_W,ZIP_5,$A20,PV_Type,P$9)</f>
        <v>32242000</v>
      </c>
      <c r="R20" s="12">
        <f t="shared" ca="1" si="15"/>
        <v>2</v>
      </c>
      <c r="S20" s="91">
        <f ca="1">SUMIFS(Struc_W,ZIP_5,$A20,PV_Type,R$9)</f>
        <v>3136000</v>
      </c>
      <c r="T20" s="12">
        <f t="shared" ca="1" si="17"/>
        <v>0</v>
      </c>
      <c r="U20" s="91">
        <f ca="1">SUMIFS(Struc_W,ZIP_5,$A20,PV_Type,T$9)</f>
        <v>0</v>
      </c>
      <c r="V20" s="12">
        <f t="shared" ca="1" si="19"/>
        <v>0</v>
      </c>
      <c r="W20" s="91">
        <f ca="1">SUMIFS(Struc_W,ZIP_5,$A20,Map_Sym,V$9)</f>
        <v>0</v>
      </c>
      <c r="X20" s="12">
        <f t="shared" ca="1" si="21"/>
        <v>0</v>
      </c>
      <c r="Y20" s="91">
        <f t="shared" ca="1" si="22"/>
        <v>0</v>
      </c>
    </row>
    <row r="21" spans="1:25" s="4" customFormat="1" ht="15.75" thickBot="1" x14ac:dyDescent="0.3">
      <c r="A21" s="4">
        <v>92102</v>
      </c>
      <c r="B21" s="6" t="s">
        <v>1312</v>
      </c>
      <c r="C21" s="6">
        <f ca="1">_xlfn.RANK.EQ(F21,$F$18:$F$118,0)</f>
        <v>25</v>
      </c>
      <c r="D21" s="144">
        <f t="shared" ca="1" si="2"/>
        <v>3</v>
      </c>
      <c r="E21" s="84">
        <f t="shared" ca="1" si="3"/>
        <v>7</v>
      </c>
      <c r="F21" s="92">
        <f t="shared" ca="1" si="4"/>
        <v>3739400</v>
      </c>
      <c r="G21" s="12">
        <f t="shared" ca="1" si="5"/>
        <v>1</v>
      </c>
      <c r="H21" s="91">
        <f t="shared" ca="1" si="6"/>
        <v>1183000</v>
      </c>
      <c r="I21" s="12">
        <f t="shared" ca="1" si="7"/>
        <v>2</v>
      </c>
      <c r="J21" s="91">
        <f t="shared" ca="1" si="8"/>
        <v>1530900</v>
      </c>
      <c r="K21" s="12">
        <f t="shared" ca="1" si="9"/>
        <v>4</v>
      </c>
      <c r="L21" s="91">
        <f t="shared" ca="1" si="10"/>
        <v>1025500</v>
      </c>
      <c r="N21" s="12">
        <f t="shared" ca="1" si="11"/>
        <v>3</v>
      </c>
      <c r="O21" s="91">
        <f t="shared" ca="1" si="12"/>
        <v>1512000</v>
      </c>
      <c r="P21" s="12">
        <f t="shared" ca="1" si="13"/>
        <v>4</v>
      </c>
      <c r="Q21" s="91">
        <f t="shared" ca="1" si="14"/>
        <v>2227400</v>
      </c>
      <c r="R21" s="12">
        <f t="shared" ca="1" si="15"/>
        <v>0</v>
      </c>
      <c r="S21" s="91">
        <f t="shared" ca="1" si="16"/>
        <v>0</v>
      </c>
      <c r="T21" s="12">
        <f t="shared" ca="1" si="17"/>
        <v>0</v>
      </c>
      <c r="U21" s="91">
        <f t="shared" ca="1" si="18"/>
        <v>0</v>
      </c>
      <c r="V21" s="12">
        <f t="shared" ca="1" si="19"/>
        <v>0</v>
      </c>
      <c r="W21" s="91">
        <f t="shared" ca="1" si="20"/>
        <v>0</v>
      </c>
      <c r="X21" s="12">
        <f t="shared" ca="1" si="21"/>
        <v>0</v>
      </c>
      <c r="Y21" s="91">
        <f t="shared" ca="1" si="22"/>
        <v>0</v>
      </c>
    </row>
    <row r="22" spans="1:25" s="4" customFormat="1" ht="15.75" hidden="1" thickBot="1" x14ac:dyDescent="0.3">
      <c r="A22" s="4">
        <v>92103</v>
      </c>
      <c r="B22" s="6"/>
      <c r="C22" s="6">
        <f t="shared" ref="C22:C53" ca="1" si="23">_xlfn.RANK.EQ(F22,$F$18:$F$118,0)</f>
        <v>32</v>
      </c>
      <c r="D22" s="144">
        <f t="shared" ca="1" si="2"/>
        <v>0</v>
      </c>
      <c r="E22" s="84">
        <f t="shared" ca="1" si="3"/>
        <v>0</v>
      </c>
      <c r="F22" s="92">
        <f t="shared" ca="1" si="4"/>
        <v>0</v>
      </c>
      <c r="G22" s="12">
        <f t="shared" ca="1" si="5"/>
        <v>0</v>
      </c>
      <c r="H22" s="91">
        <f t="shared" ca="1" si="6"/>
        <v>0</v>
      </c>
      <c r="I22" s="12">
        <f t="shared" ca="1" si="7"/>
        <v>0</v>
      </c>
      <c r="J22" s="91">
        <f t="shared" ca="1" si="8"/>
        <v>0</v>
      </c>
      <c r="K22" s="12">
        <f t="shared" ca="1" si="9"/>
        <v>0</v>
      </c>
      <c r="L22" s="91">
        <f t="shared" ca="1" si="10"/>
        <v>0</v>
      </c>
      <c r="N22" s="12">
        <f t="shared" ca="1" si="11"/>
        <v>0</v>
      </c>
      <c r="O22" s="91">
        <f t="shared" ca="1" si="12"/>
        <v>0</v>
      </c>
      <c r="P22" s="12">
        <f t="shared" ca="1" si="13"/>
        <v>0</v>
      </c>
      <c r="Q22" s="91">
        <f t="shared" ca="1" si="14"/>
        <v>0</v>
      </c>
      <c r="R22" s="12">
        <f t="shared" ca="1" si="15"/>
        <v>0</v>
      </c>
      <c r="S22" s="91">
        <f t="shared" ca="1" si="16"/>
        <v>0</v>
      </c>
      <c r="T22" s="12">
        <f t="shared" ca="1" si="17"/>
        <v>0</v>
      </c>
      <c r="U22" s="91">
        <f t="shared" ca="1" si="18"/>
        <v>0</v>
      </c>
      <c r="V22" s="12">
        <f t="shared" ca="1" si="19"/>
        <v>0</v>
      </c>
      <c r="W22" s="91">
        <f t="shared" ca="1" si="20"/>
        <v>0</v>
      </c>
      <c r="X22" s="12">
        <f t="shared" ca="1" si="21"/>
        <v>0</v>
      </c>
      <c r="Y22" s="91">
        <f t="shared" ca="1" si="22"/>
        <v>0</v>
      </c>
    </row>
    <row r="23" spans="1:25" s="4" customFormat="1" ht="15.75" hidden="1" thickBot="1" x14ac:dyDescent="0.3">
      <c r="A23" s="4">
        <v>92104</v>
      </c>
      <c r="B23" s="6" t="s">
        <v>1312</v>
      </c>
      <c r="C23" s="6">
        <f t="shared" ca="1" si="23"/>
        <v>32</v>
      </c>
      <c r="D23" s="144">
        <f t="shared" ca="1" si="2"/>
        <v>0</v>
      </c>
      <c r="E23" s="84">
        <f t="shared" ca="1" si="3"/>
        <v>0</v>
      </c>
      <c r="F23" s="92">
        <f t="shared" ca="1" si="4"/>
        <v>0</v>
      </c>
      <c r="G23" s="12">
        <f t="shared" ca="1" si="5"/>
        <v>0</v>
      </c>
      <c r="H23" s="91">
        <f t="shared" ca="1" si="6"/>
        <v>0</v>
      </c>
      <c r="I23" s="12">
        <f t="shared" ca="1" si="7"/>
        <v>0</v>
      </c>
      <c r="J23" s="91">
        <f t="shared" ca="1" si="8"/>
        <v>0</v>
      </c>
      <c r="K23" s="12">
        <f t="shared" ca="1" si="9"/>
        <v>0</v>
      </c>
      <c r="L23" s="91">
        <f t="shared" ca="1" si="10"/>
        <v>0</v>
      </c>
      <c r="N23" s="12">
        <f t="shared" ca="1" si="11"/>
        <v>0</v>
      </c>
      <c r="O23" s="91">
        <f t="shared" ca="1" si="12"/>
        <v>0</v>
      </c>
      <c r="P23" s="12">
        <f t="shared" ca="1" si="13"/>
        <v>0</v>
      </c>
      <c r="Q23" s="91">
        <f t="shared" ca="1" si="14"/>
        <v>0</v>
      </c>
      <c r="R23" s="12">
        <f t="shared" ca="1" si="15"/>
        <v>0</v>
      </c>
      <c r="S23" s="91">
        <f t="shared" ca="1" si="16"/>
        <v>0</v>
      </c>
      <c r="T23" s="12">
        <f t="shared" ca="1" si="17"/>
        <v>0</v>
      </c>
      <c r="U23" s="91">
        <f t="shared" ca="1" si="18"/>
        <v>0</v>
      </c>
      <c r="V23" s="12">
        <f t="shared" ca="1" si="19"/>
        <v>0</v>
      </c>
      <c r="W23" s="91">
        <f t="shared" ca="1" si="20"/>
        <v>0</v>
      </c>
      <c r="X23" s="12">
        <f t="shared" ca="1" si="21"/>
        <v>0</v>
      </c>
      <c r="Y23" s="91">
        <f t="shared" ca="1" si="22"/>
        <v>0</v>
      </c>
    </row>
    <row r="24" spans="1:25" s="4" customFormat="1" ht="15.75" thickBot="1" x14ac:dyDescent="0.3">
      <c r="A24" s="4">
        <v>92105</v>
      </c>
      <c r="B24" s="6" t="s">
        <v>1312</v>
      </c>
      <c r="C24" s="6">
        <f t="shared" ca="1" si="23"/>
        <v>31</v>
      </c>
      <c r="D24" s="144">
        <f t="shared" ca="1" si="2"/>
        <v>1</v>
      </c>
      <c r="E24" s="84">
        <f t="shared" ca="1" si="3"/>
        <v>3</v>
      </c>
      <c r="F24" s="92">
        <f t="shared" ca="1" si="4"/>
        <v>1547000</v>
      </c>
      <c r="G24" s="12">
        <f t="shared" ca="1" si="5"/>
        <v>0</v>
      </c>
      <c r="H24" s="91">
        <f t="shared" ca="1" si="6"/>
        <v>0</v>
      </c>
      <c r="I24" s="12">
        <f t="shared" ca="1" si="7"/>
        <v>1</v>
      </c>
      <c r="J24" s="91">
        <f t="shared" ca="1" si="8"/>
        <v>826000</v>
      </c>
      <c r="K24" s="12">
        <f t="shared" ca="1" si="9"/>
        <v>2</v>
      </c>
      <c r="L24" s="91">
        <f t="shared" ca="1" si="10"/>
        <v>721000</v>
      </c>
      <c r="N24" s="12">
        <f t="shared" ca="1" si="11"/>
        <v>0</v>
      </c>
      <c r="O24" s="91">
        <f t="shared" ca="1" si="12"/>
        <v>0</v>
      </c>
      <c r="P24" s="12">
        <f t="shared" ca="1" si="13"/>
        <v>3</v>
      </c>
      <c r="Q24" s="91">
        <f t="shared" ca="1" si="14"/>
        <v>1547000</v>
      </c>
      <c r="R24" s="12">
        <f t="shared" ca="1" si="15"/>
        <v>0</v>
      </c>
      <c r="S24" s="91">
        <f t="shared" ca="1" si="16"/>
        <v>0</v>
      </c>
      <c r="T24" s="12">
        <f t="shared" ca="1" si="17"/>
        <v>0</v>
      </c>
      <c r="U24" s="91">
        <f t="shared" ca="1" si="18"/>
        <v>0</v>
      </c>
      <c r="V24" s="12">
        <f t="shared" ca="1" si="19"/>
        <v>0</v>
      </c>
      <c r="W24" s="91">
        <f t="shared" ca="1" si="20"/>
        <v>0</v>
      </c>
      <c r="X24" s="12">
        <f t="shared" ca="1" si="21"/>
        <v>0</v>
      </c>
      <c r="Y24" s="91">
        <f t="shared" ca="1" si="22"/>
        <v>0</v>
      </c>
    </row>
    <row r="25" spans="1:25" s="4" customFormat="1" ht="15.75" thickBot="1" x14ac:dyDescent="0.3">
      <c r="A25" s="4">
        <v>92106</v>
      </c>
      <c r="B25" s="6" t="s">
        <v>1312</v>
      </c>
      <c r="C25" s="6">
        <f t="shared" ca="1" si="23"/>
        <v>23</v>
      </c>
      <c r="D25" s="144">
        <f t="shared" ca="1" si="2"/>
        <v>1</v>
      </c>
      <c r="E25" s="84">
        <f t="shared" ca="1" si="3"/>
        <v>3</v>
      </c>
      <c r="F25" s="92">
        <f t="shared" ca="1" si="4"/>
        <v>5306000</v>
      </c>
      <c r="G25" s="12">
        <f t="shared" ca="1" si="5"/>
        <v>3</v>
      </c>
      <c r="H25" s="91">
        <f t="shared" ca="1" si="6"/>
        <v>5306000</v>
      </c>
      <c r="I25" s="12">
        <f t="shared" ca="1" si="7"/>
        <v>0</v>
      </c>
      <c r="J25" s="91">
        <f t="shared" ca="1" si="8"/>
        <v>0</v>
      </c>
      <c r="K25" s="12">
        <f t="shared" ca="1" si="9"/>
        <v>0</v>
      </c>
      <c r="L25" s="91">
        <f t="shared" ca="1" si="10"/>
        <v>0</v>
      </c>
      <c r="N25" s="12">
        <f t="shared" ca="1" si="11"/>
        <v>0</v>
      </c>
      <c r="O25" s="91">
        <f t="shared" ca="1" si="12"/>
        <v>0</v>
      </c>
      <c r="P25" s="12">
        <f t="shared" ca="1" si="13"/>
        <v>3</v>
      </c>
      <c r="Q25" s="91">
        <f t="shared" ca="1" si="14"/>
        <v>5306000</v>
      </c>
      <c r="R25" s="12">
        <f t="shared" ca="1" si="15"/>
        <v>0</v>
      </c>
      <c r="S25" s="91">
        <f t="shared" ca="1" si="16"/>
        <v>0</v>
      </c>
      <c r="T25" s="12">
        <f t="shared" ca="1" si="17"/>
        <v>0</v>
      </c>
      <c r="U25" s="91">
        <f t="shared" ca="1" si="18"/>
        <v>0</v>
      </c>
      <c r="V25" s="12">
        <f t="shared" ca="1" si="19"/>
        <v>0</v>
      </c>
      <c r="W25" s="91">
        <f t="shared" ca="1" si="20"/>
        <v>0</v>
      </c>
      <c r="X25" s="12">
        <f t="shared" ca="1" si="21"/>
        <v>0</v>
      </c>
      <c r="Y25" s="91">
        <f t="shared" ca="1" si="22"/>
        <v>0</v>
      </c>
    </row>
    <row r="26" spans="1:25" s="4" customFormat="1" ht="15.75" hidden="1" thickBot="1" x14ac:dyDescent="0.3">
      <c r="A26" s="4">
        <v>92107</v>
      </c>
      <c r="B26" s="6" t="s">
        <v>1312</v>
      </c>
      <c r="C26" s="6">
        <f t="shared" ca="1" si="23"/>
        <v>32</v>
      </c>
      <c r="D26" s="144">
        <f t="shared" ca="1" si="2"/>
        <v>0</v>
      </c>
      <c r="E26" s="84">
        <f t="shared" ca="1" si="3"/>
        <v>0</v>
      </c>
      <c r="F26" s="92">
        <f t="shared" ca="1" si="4"/>
        <v>0</v>
      </c>
      <c r="G26" s="12">
        <f t="shared" ca="1" si="5"/>
        <v>0</v>
      </c>
      <c r="H26" s="91">
        <f t="shared" ca="1" si="6"/>
        <v>0</v>
      </c>
      <c r="I26" s="12">
        <f t="shared" ca="1" si="7"/>
        <v>0</v>
      </c>
      <c r="J26" s="91">
        <f t="shared" ca="1" si="8"/>
        <v>0</v>
      </c>
      <c r="K26" s="12">
        <f t="shared" ca="1" si="9"/>
        <v>0</v>
      </c>
      <c r="L26" s="91">
        <f t="shared" ca="1" si="10"/>
        <v>0</v>
      </c>
      <c r="N26" s="12">
        <f t="shared" ca="1" si="11"/>
        <v>0</v>
      </c>
      <c r="O26" s="91">
        <f t="shared" ca="1" si="12"/>
        <v>0</v>
      </c>
      <c r="P26" s="12">
        <f t="shared" ca="1" si="13"/>
        <v>0</v>
      </c>
      <c r="Q26" s="91">
        <f t="shared" ca="1" si="14"/>
        <v>0</v>
      </c>
      <c r="R26" s="12">
        <f t="shared" ca="1" si="15"/>
        <v>0</v>
      </c>
      <c r="S26" s="91">
        <f t="shared" ca="1" si="16"/>
        <v>0</v>
      </c>
      <c r="T26" s="12">
        <f t="shared" ca="1" si="17"/>
        <v>0</v>
      </c>
      <c r="U26" s="91">
        <f t="shared" ca="1" si="18"/>
        <v>0</v>
      </c>
      <c r="V26" s="12">
        <f t="shared" ca="1" si="19"/>
        <v>0</v>
      </c>
      <c r="W26" s="91">
        <f t="shared" ca="1" si="20"/>
        <v>0</v>
      </c>
      <c r="X26" s="12">
        <f t="shared" ca="1" si="21"/>
        <v>0</v>
      </c>
      <c r="Y26" s="91">
        <f t="shared" ca="1" si="22"/>
        <v>0</v>
      </c>
    </row>
    <row r="27" spans="1:25" s="4" customFormat="1" ht="15.75" thickBot="1" x14ac:dyDescent="0.3">
      <c r="A27" s="4">
        <v>92108</v>
      </c>
      <c r="B27" s="6" t="s">
        <v>1312</v>
      </c>
      <c r="C27" s="6">
        <f t="shared" ca="1" si="23"/>
        <v>2</v>
      </c>
      <c r="D27" s="144">
        <f t="shared" ca="1" si="2"/>
        <v>8</v>
      </c>
      <c r="E27" s="84">
        <f t="shared" ca="1" si="3"/>
        <v>48</v>
      </c>
      <c r="F27" s="92">
        <f t="shared" ca="1" si="4"/>
        <v>51285500</v>
      </c>
      <c r="G27" s="12">
        <f t="shared" ca="1" si="5"/>
        <v>12</v>
      </c>
      <c r="H27" s="91">
        <f t="shared" ca="1" si="6"/>
        <v>35007000</v>
      </c>
      <c r="I27" s="12">
        <f t="shared" ca="1" si="7"/>
        <v>14</v>
      </c>
      <c r="J27" s="91">
        <f t="shared" ca="1" si="8"/>
        <v>10122000</v>
      </c>
      <c r="K27" s="12">
        <f t="shared" ca="1" si="9"/>
        <v>22</v>
      </c>
      <c r="L27" s="91">
        <f t="shared" ca="1" si="10"/>
        <v>6156500</v>
      </c>
      <c r="N27" s="12">
        <f t="shared" ca="1" si="11"/>
        <v>6</v>
      </c>
      <c r="O27" s="91">
        <f t="shared" ca="1" si="12"/>
        <v>1291500</v>
      </c>
      <c r="P27" s="12">
        <f t="shared" ca="1" si="13"/>
        <v>38</v>
      </c>
      <c r="Q27" s="91">
        <f t="shared" ca="1" si="14"/>
        <v>48419000</v>
      </c>
      <c r="R27" s="12">
        <f t="shared" ca="1" si="15"/>
        <v>4</v>
      </c>
      <c r="S27" s="91">
        <f t="shared" ca="1" si="16"/>
        <v>1575000</v>
      </c>
      <c r="T27" s="12">
        <f t="shared" ca="1" si="17"/>
        <v>0</v>
      </c>
      <c r="U27" s="91">
        <f t="shared" ca="1" si="18"/>
        <v>0</v>
      </c>
      <c r="V27" s="12">
        <f t="shared" ca="1" si="19"/>
        <v>0</v>
      </c>
      <c r="W27" s="91">
        <f t="shared" ca="1" si="20"/>
        <v>0</v>
      </c>
      <c r="X27" s="12">
        <f t="shared" ca="1" si="21"/>
        <v>0</v>
      </c>
      <c r="Y27" s="91">
        <f t="shared" ca="1" si="22"/>
        <v>0</v>
      </c>
    </row>
    <row r="28" spans="1:25" s="4" customFormat="1" ht="15.75" thickBot="1" x14ac:dyDescent="0.3">
      <c r="A28" s="4">
        <v>92109</v>
      </c>
      <c r="B28" s="6" t="s">
        <v>1312</v>
      </c>
      <c r="C28" s="6">
        <f t="shared" ca="1" si="23"/>
        <v>6</v>
      </c>
      <c r="D28" s="144">
        <f t="shared" ca="1" si="2"/>
        <v>8</v>
      </c>
      <c r="E28" s="84">
        <f t="shared" ca="1" si="3"/>
        <v>22</v>
      </c>
      <c r="F28" s="92">
        <f t="shared" ca="1" si="4"/>
        <v>24542000</v>
      </c>
      <c r="G28" s="12">
        <f t="shared" ca="1" si="5"/>
        <v>15</v>
      </c>
      <c r="H28" s="91">
        <f t="shared" ca="1" si="6"/>
        <v>21777000</v>
      </c>
      <c r="I28" s="12">
        <f t="shared" ca="1" si="7"/>
        <v>2</v>
      </c>
      <c r="J28" s="91">
        <f t="shared" ca="1" si="8"/>
        <v>1400000</v>
      </c>
      <c r="K28" s="12">
        <f t="shared" ca="1" si="9"/>
        <v>5</v>
      </c>
      <c r="L28" s="91">
        <f t="shared" ca="1" si="10"/>
        <v>1365000</v>
      </c>
      <c r="N28" s="12">
        <f t="shared" ca="1" si="11"/>
        <v>0</v>
      </c>
      <c r="O28" s="91">
        <f t="shared" ca="1" si="12"/>
        <v>0</v>
      </c>
      <c r="P28" s="12">
        <f t="shared" ca="1" si="13"/>
        <v>22</v>
      </c>
      <c r="Q28" s="91">
        <f t="shared" ca="1" si="14"/>
        <v>24542000</v>
      </c>
      <c r="R28" s="12">
        <f t="shared" ca="1" si="15"/>
        <v>0</v>
      </c>
      <c r="S28" s="91">
        <f t="shared" ca="1" si="16"/>
        <v>0</v>
      </c>
      <c r="T28" s="12">
        <f t="shared" ca="1" si="17"/>
        <v>0</v>
      </c>
      <c r="U28" s="91">
        <f t="shared" ca="1" si="18"/>
        <v>0</v>
      </c>
      <c r="V28" s="12">
        <f t="shared" ca="1" si="19"/>
        <v>0</v>
      </c>
      <c r="W28" s="91">
        <f t="shared" ca="1" si="20"/>
        <v>0</v>
      </c>
      <c r="X28" s="12">
        <f t="shared" ca="1" si="21"/>
        <v>0</v>
      </c>
      <c r="Y28" s="91">
        <f t="shared" ca="1" si="22"/>
        <v>0</v>
      </c>
    </row>
    <row r="29" spans="1:25" s="4" customFormat="1" ht="15.75" thickBot="1" x14ac:dyDescent="0.3">
      <c r="A29" s="4">
        <v>92110</v>
      </c>
      <c r="B29" s="6" t="s">
        <v>1312</v>
      </c>
      <c r="C29" s="6">
        <f t="shared" ca="1" si="23"/>
        <v>8</v>
      </c>
      <c r="D29" s="144">
        <f t="shared" ca="1" si="2"/>
        <v>8</v>
      </c>
      <c r="E29" s="84">
        <f t="shared" ca="1" si="3"/>
        <v>27</v>
      </c>
      <c r="F29" s="92">
        <f t="shared" ca="1" si="4"/>
        <v>23151000</v>
      </c>
      <c r="G29" s="12">
        <f t="shared" ca="1" si="5"/>
        <v>10</v>
      </c>
      <c r="H29" s="91">
        <f t="shared" ca="1" si="6"/>
        <v>15295000</v>
      </c>
      <c r="I29" s="12">
        <f t="shared" ca="1" si="7"/>
        <v>7</v>
      </c>
      <c r="J29" s="91">
        <f t="shared" ca="1" si="8"/>
        <v>5204000</v>
      </c>
      <c r="K29" s="12">
        <f t="shared" ca="1" si="9"/>
        <v>10</v>
      </c>
      <c r="L29" s="91">
        <f t="shared" ca="1" si="10"/>
        <v>2652000</v>
      </c>
      <c r="N29" s="12">
        <f t="shared" ca="1" si="11"/>
        <v>14</v>
      </c>
      <c r="O29" s="91">
        <f t="shared" ca="1" si="12"/>
        <v>9200000</v>
      </c>
      <c r="P29" s="12">
        <f t="shared" ca="1" si="13"/>
        <v>13</v>
      </c>
      <c r="Q29" s="91">
        <f t="shared" ca="1" si="14"/>
        <v>13951000</v>
      </c>
      <c r="R29" s="12">
        <f t="shared" ca="1" si="15"/>
        <v>0</v>
      </c>
      <c r="S29" s="91">
        <f t="shared" ca="1" si="16"/>
        <v>0</v>
      </c>
      <c r="T29" s="12">
        <f t="shared" ca="1" si="17"/>
        <v>0</v>
      </c>
      <c r="U29" s="91">
        <f t="shared" ca="1" si="18"/>
        <v>0</v>
      </c>
      <c r="V29" s="12">
        <f t="shared" ca="1" si="19"/>
        <v>0</v>
      </c>
      <c r="W29" s="91">
        <f t="shared" ca="1" si="20"/>
        <v>0</v>
      </c>
      <c r="X29" s="12">
        <f t="shared" ca="1" si="21"/>
        <v>0</v>
      </c>
      <c r="Y29" s="91">
        <f t="shared" ca="1" si="22"/>
        <v>0</v>
      </c>
    </row>
    <row r="30" spans="1:25" s="4" customFormat="1" ht="15.75" thickBot="1" x14ac:dyDescent="0.3">
      <c r="A30" s="4">
        <v>92111</v>
      </c>
      <c r="B30" s="6" t="s">
        <v>1312</v>
      </c>
      <c r="C30" s="6">
        <f t="shared" ca="1" si="23"/>
        <v>9</v>
      </c>
      <c r="D30" s="144">
        <f t="shared" ca="1" si="2"/>
        <v>9</v>
      </c>
      <c r="E30" s="84">
        <f t="shared" ca="1" si="3"/>
        <v>35</v>
      </c>
      <c r="F30" s="92">
        <f t="shared" ca="1" si="4"/>
        <v>21858000</v>
      </c>
      <c r="G30" s="12">
        <f t="shared" ca="1" si="5"/>
        <v>8</v>
      </c>
      <c r="H30" s="91">
        <f t="shared" ca="1" si="6"/>
        <v>10486000</v>
      </c>
      <c r="I30" s="12">
        <f t="shared" ca="1" si="7"/>
        <v>10</v>
      </c>
      <c r="J30" s="91">
        <f t="shared" ca="1" si="8"/>
        <v>6492000</v>
      </c>
      <c r="K30" s="12">
        <f t="shared" ca="1" si="9"/>
        <v>17</v>
      </c>
      <c r="L30" s="91">
        <f t="shared" ca="1" si="10"/>
        <v>4880000</v>
      </c>
      <c r="N30" s="12">
        <f t="shared" ca="1" si="11"/>
        <v>13</v>
      </c>
      <c r="O30" s="91">
        <f t="shared" ca="1" si="12"/>
        <v>7004000</v>
      </c>
      <c r="P30" s="12">
        <f t="shared" ca="1" si="13"/>
        <v>22</v>
      </c>
      <c r="Q30" s="91">
        <f t="shared" ca="1" si="14"/>
        <v>14854000</v>
      </c>
      <c r="R30" s="12">
        <f t="shared" ca="1" si="15"/>
        <v>0</v>
      </c>
      <c r="S30" s="91">
        <f t="shared" ca="1" si="16"/>
        <v>0</v>
      </c>
      <c r="T30" s="12">
        <f t="shared" ca="1" si="17"/>
        <v>0</v>
      </c>
      <c r="U30" s="91">
        <f t="shared" ca="1" si="18"/>
        <v>0</v>
      </c>
      <c r="V30" s="12">
        <f t="shared" ca="1" si="19"/>
        <v>0</v>
      </c>
      <c r="W30" s="91">
        <f t="shared" ca="1" si="20"/>
        <v>0</v>
      </c>
      <c r="X30" s="12">
        <f t="shared" ca="1" si="21"/>
        <v>0</v>
      </c>
      <c r="Y30" s="91">
        <f t="shared" ca="1" si="22"/>
        <v>0</v>
      </c>
    </row>
    <row r="31" spans="1:25" s="4" customFormat="1" ht="15.75" hidden="1" thickBot="1" x14ac:dyDescent="0.3">
      <c r="A31" s="4">
        <v>92112</v>
      </c>
      <c r="B31" s="6"/>
      <c r="C31" s="6">
        <f t="shared" ca="1" si="23"/>
        <v>32</v>
      </c>
      <c r="D31" s="144">
        <f t="shared" ca="1" si="2"/>
        <v>0</v>
      </c>
      <c r="E31" s="84">
        <f t="shared" ca="1" si="3"/>
        <v>0</v>
      </c>
      <c r="F31" s="92">
        <f t="shared" ca="1" si="4"/>
        <v>0</v>
      </c>
      <c r="G31" s="12">
        <f t="shared" ca="1" si="5"/>
        <v>0</v>
      </c>
      <c r="H31" s="91">
        <f t="shared" ca="1" si="6"/>
        <v>0</v>
      </c>
      <c r="I31" s="12">
        <f t="shared" ca="1" si="7"/>
        <v>0</v>
      </c>
      <c r="J31" s="91">
        <f t="shared" ca="1" si="8"/>
        <v>0</v>
      </c>
      <c r="K31" s="12">
        <f t="shared" ca="1" si="9"/>
        <v>0</v>
      </c>
      <c r="L31" s="91">
        <f t="shared" ca="1" si="10"/>
        <v>0</v>
      </c>
      <c r="N31" s="12">
        <f t="shared" ca="1" si="11"/>
        <v>0</v>
      </c>
      <c r="O31" s="91">
        <f t="shared" ca="1" si="12"/>
        <v>0</v>
      </c>
      <c r="P31" s="12">
        <f t="shared" ca="1" si="13"/>
        <v>0</v>
      </c>
      <c r="Q31" s="91">
        <f t="shared" ca="1" si="14"/>
        <v>0</v>
      </c>
      <c r="R31" s="12">
        <f t="shared" ca="1" si="15"/>
        <v>0</v>
      </c>
      <c r="S31" s="91">
        <f t="shared" ca="1" si="16"/>
        <v>0</v>
      </c>
      <c r="T31" s="12">
        <f t="shared" ca="1" si="17"/>
        <v>0</v>
      </c>
      <c r="U31" s="91">
        <f t="shared" ca="1" si="18"/>
        <v>0</v>
      </c>
      <c r="V31" s="12">
        <f t="shared" ca="1" si="19"/>
        <v>0</v>
      </c>
      <c r="W31" s="91">
        <f t="shared" ca="1" si="20"/>
        <v>0</v>
      </c>
      <c r="X31" s="12">
        <f t="shared" ca="1" si="21"/>
        <v>0</v>
      </c>
      <c r="Y31" s="91">
        <f t="shared" ca="1" si="22"/>
        <v>0</v>
      </c>
    </row>
    <row r="32" spans="1:25" s="4" customFormat="1" ht="15.75" thickBot="1" x14ac:dyDescent="0.3">
      <c r="A32" s="4">
        <v>92113</v>
      </c>
      <c r="B32" s="6" t="s">
        <v>1312</v>
      </c>
      <c r="C32" s="6">
        <f t="shared" ca="1" si="23"/>
        <v>12</v>
      </c>
      <c r="D32" s="144">
        <f t="shared" ca="1" si="2"/>
        <v>6</v>
      </c>
      <c r="E32" s="84">
        <f t="shared" ca="1" si="3"/>
        <v>29</v>
      </c>
      <c r="F32" s="92">
        <f t="shared" ca="1" si="4"/>
        <v>13284000</v>
      </c>
      <c r="G32" s="12">
        <f t="shared" ca="1" si="5"/>
        <v>4</v>
      </c>
      <c r="H32" s="91">
        <f t="shared" ca="1" si="6"/>
        <v>5425000</v>
      </c>
      <c r="I32" s="12">
        <f t="shared" ca="1" si="7"/>
        <v>4</v>
      </c>
      <c r="J32" s="91">
        <f t="shared" ca="1" si="8"/>
        <v>2900000</v>
      </c>
      <c r="K32" s="12">
        <f t="shared" ca="1" si="9"/>
        <v>21</v>
      </c>
      <c r="L32" s="91">
        <f t="shared" ca="1" si="10"/>
        <v>4959000</v>
      </c>
      <c r="N32" s="12">
        <f t="shared" ca="1" si="11"/>
        <v>6</v>
      </c>
      <c r="O32" s="91">
        <f t="shared" ca="1" si="12"/>
        <v>3092000</v>
      </c>
      <c r="P32" s="12">
        <f t="shared" ca="1" si="13"/>
        <v>23</v>
      </c>
      <c r="Q32" s="91">
        <f t="shared" ca="1" si="14"/>
        <v>10192000</v>
      </c>
      <c r="R32" s="12">
        <f t="shared" ca="1" si="15"/>
        <v>0</v>
      </c>
      <c r="S32" s="91">
        <f t="shared" ca="1" si="16"/>
        <v>0</v>
      </c>
      <c r="T32" s="12">
        <f t="shared" ca="1" si="17"/>
        <v>0</v>
      </c>
      <c r="U32" s="91">
        <f t="shared" ca="1" si="18"/>
        <v>0</v>
      </c>
      <c r="V32" s="12">
        <f t="shared" ca="1" si="19"/>
        <v>0</v>
      </c>
      <c r="W32" s="91">
        <f t="shared" ca="1" si="20"/>
        <v>0</v>
      </c>
      <c r="X32" s="12">
        <f t="shared" ca="1" si="21"/>
        <v>0</v>
      </c>
      <c r="Y32" s="91">
        <f t="shared" ca="1" si="22"/>
        <v>0</v>
      </c>
    </row>
    <row r="33" spans="1:25" s="4" customFormat="1" ht="15.75" hidden="1" thickBot="1" x14ac:dyDescent="0.3">
      <c r="A33" s="4">
        <v>92114</v>
      </c>
      <c r="B33" s="6" t="s">
        <v>1312</v>
      </c>
      <c r="C33" s="6">
        <f t="shared" ca="1" si="23"/>
        <v>32</v>
      </c>
      <c r="D33" s="144">
        <f t="shared" ca="1" si="2"/>
        <v>0</v>
      </c>
      <c r="E33" s="84">
        <f t="shared" ca="1" si="3"/>
        <v>0</v>
      </c>
      <c r="F33" s="92">
        <f t="shared" ca="1" si="4"/>
        <v>0</v>
      </c>
      <c r="G33" s="12">
        <f t="shared" ca="1" si="5"/>
        <v>0</v>
      </c>
      <c r="H33" s="91">
        <f t="shared" ca="1" si="6"/>
        <v>0</v>
      </c>
      <c r="I33" s="12">
        <f t="shared" ca="1" si="7"/>
        <v>0</v>
      </c>
      <c r="J33" s="91">
        <f t="shared" ca="1" si="8"/>
        <v>0</v>
      </c>
      <c r="K33" s="12">
        <f t="shared" ca="1" si="9"/>
        <v>0</v>
      </c>
      <c r="L33" s="91">
        <f t="shared" ca="1" si="10"/>
        <v>0</v>
      </c>
      <c r="N33" s="12">
        <f t="shared" ca="1" si="11"/>
        <v>0</v>
      </c>
      <c r="O33" s="91">
        <f t="shared" ca="1" si="12"/>
        <v>0</v>
      </c>
      <c r="P33" s="12">
        <f t="shared" ca="1" si="13"/>
        <v>0</v>
      </c>
      <c r="Q33" s="91">
        <f t="shared" ca="1" si="14"/>
        <v>0</v>
      </c>
      <c r="R33" s="12">
        <f t="shared" ca="1" si="15"/>
        <v>0</v>
      </c>
      <c r="S33" s="91">
        <f t="shared" ca="1" si="16"/>
        <v>0</v>
      </c>
      <c r="T33" s="12">
        <f t="shared" ca="1" si="17"/>
        <v>0</v>
      </c>
      <c r="U33" s="91">
        <f t="shared" ca="1" si="18"/>
        <v>0</v>
      </c>
      <c r="V33" s="12">
        <f t="shared" ca="1" si="19"/>
        <v>0</v>
      </c>
      <c r="W33" s="91">
        <f t="shared" ca="1" si="20"/>
        <v>0</v>
      </c>
      <c r="X33" s="12">
        <f t="shared" ca="1" si="21"/>
        <v>0</v>
      </c>
      <c r="Y33" s="91">
        <f t="shared" ca="1" si="22"/>
        <v>0</v>
      </c>
    </row>
    <row r="34" spans="1:25" s="4" customFormat="1" ht="15.75" thickBot="1" x14ac:dyDescent="0.3">
      <c r="A34" s="4">
        <v>92115</v>
      </c>
      <c r="B34" s="6" t="s">
        <v>1312</v>
      </c>
      <c r="C34" s="6">
        <f t="shared" ca="1" si="23"/>
        <v>20</v>
      </c>
      <c r="D34" s="144">
        <f t="shared" ca="1" si="2"/>
        <v>1</v>
      </c>
      <c r="E34" s="84">
        <f t="shared" ca="1" si="3"/>
        <v>8</v>
      </c>
      <c r="F34" s="92">
        <f t="shared" ca="1" si="4"/>
        <v>6136000</v>
      </c>
      <c r="G34" s="12">
        <f t="shared" ca="1" si="5"/>
        <v>2</v>
      </c>
      <c r="H34" s="91">
        <f t="shared" ca="1" si="6"/>
        <v>2618000</v>
      </c>
      <c r="I34" s="12">
        <f t="shared" ca="1" si="7"/>
        <v>5</v>
      </c>
      <c r="J34" s="91">
        <f t="shared" ca="1" si="8"/>
        <v>3176000</v>
      </c>
      <c r="K34" s="12">
        <f t="shared" ca="1" si="9"/>
        <v>1</v>
      </c>
      <c r="L34" s="91">
        <f t="shared" ca="1" si="10"/>
        <v>342000</v>
      </c>
      <c r="N34" s="12">
        <f t="shared" ca="1" si="11"/>
        <v>3</v>
      </c>
      <c r="O34" s="91">
        <f t="shared" ca="1" si="12"/>
        <v>1432000</v>
      </c>
      <c r="P34" s="12">
        <f t="shared" ca="1" si="13"/>
        <v>5</v>
      </c>
      <c r="Q34" s="91">
        <f t="shared" ca="1" si="14"/>
        <v>4704000</v>
      </c>
      <c r="R34" s="12">
        <f t="shared" ca="1" si="15"/>
        <v>0</v>
      </c>
      <c r="S34" s="91">
        <f t="shared" ca="1" si="16"/>
        <v>0</v>
      </c>
      <c r="T34" s="12">
        <f t="shared" ca="1" si="17"/>
        <v>0</v>
      </c>
      <c r="U34" s="91">
        <f t="shared" ca="1" si="18"/>
        <v>0</v>
      </c>
      <c r="V34" s="12">
        <f t="shared" ca="1" si="19"/>
        <v>0</v>
      </c>
      <c r="W34" s="91">
        <f t="shared" ca="1" si="20"/>
        <v>0</v>
      </c>
      <c r="X34" s="12">
        <f t="shared" ca="1" si="21"/>
        <v>0</v>
      </c>
      <c r="Y34" s="91">
        <f t="shared" ca="1" si="22"/>
        <v>0</v>
      </c>
    </row>
    <row r="35" spans="1:25" s="4" customFormat="1" ht="15.75" hidden="1" thickBot="1" x14ac:dyDescent="0.3">
      <c r="A35" s="4">
        <v>92116</v>
      </c>
      <c r="B35" s="6" t="s">
        <v>1312</v>
      </c>
      <c r="C35" s="6">
        <f t="shared" ca="1" si="23"/>
        <v>32</v>
      </c>
      <c r="D35" s="144">
        <f t="shared" ca="1" si="2"/>
        <v>0</v>
      </c>
      <c r="E35" s="84">
        <f t="shared" ca="1" si="3"/>
        <v>0</v>
      </c>
      <c r="F35" s="92">
        <f t="shared" ca="1" si="4"/>
        <v>0</v>
      </c>
      <c r="G35" s="12">
        <f t="shared" ca="1" si="5"/>
        <v>0</v>
      </c>
      <c r="H35" s="91">
        <f t="shared" ca="1" si="6"/>
        <v>0</v>
      </c>
      <c r="I35" s="12">
        <f t="shared" ca="1" si="7"/>
        <v>0</v>
      </c>
      <c r="J35" s="91">
        <f t="shared" ca="1" si="8"/>
        <v>0</v>
      </c>
      <c r="K35" s="12">
        <f t="shared" ca="1" si="9"/>
        <v>0</v>
      </c>
      <c r="L35" s="91">
        <f t="shared" ca="1" si="10"/>
        <v>0</v>
      </c>
      <c r="N35" s="12">
        <f t="shared" ca="1" si="11"/>
        <v>0</v>
      </c>
      <c r="O35" s="91">
        <f t="shared" ca="1" si="12"/>
        <v>0</v>
      </c>
      <c r="P35" s="12">
        <f t="shared" ca="1" si="13"/>
        <v>0</v>
      </c>
      <c r="Q35" s="91">
        <f t="shared" ca="1" si="14"/>
        <v>0</v>
      </c>
      <c r="R35" s="12">
        <f t="shared" ca="1" si="15"/>
        <v>0</v>
      </c>
      <c r="S35" s="91">
        <f t="shared" ca="1" si="16"/>
        <v>0</v>
      </c>
      <c r="T35" s="12">
        <f t="shared" ca="1" si="17"/>
        <v>0</v>
      </c>
      <c r="U35" s="91">
        <f t="shared" ca="1" si="18"/>
        <v>0</v>
      </c>
      <c r="V35" s="12">
        <f t="shared" ca="1" si="19"/>
        <v>0</v>
      </c>
      <c r="W35" s="91">
        <f t="shared" ca="1" si="20"/>
        <v>0</v>
      </c>
      <c r="X35" s="12">
        <f t="shared" ca="1" si="21"/>
        <v>0</v>
      </c>
      <c r="Y35" s="91">
        <f t="shared" ca="1" si="22"/>
        <v>0</v>
      </c>
    </row>
    <row r="36" spans="1:25" s="4" customFormat="1" ht="15.75" thickBot="1" x14ac:dyDescent="0.3">
      <c r="A36" s="4">
        <v>92117</v>
      </c>
      <c r="B36" s="6" t="s">
        <v>1312</v>
      </c>
      <c r="C36" s="6">
        <f t="shared" ca="1" si="23"/>
        <v>27</v>
      </c>
      <c r="D36" s="144">
        <f t="shared" ca="1" si="2"/>
        <v>2</v>
      </c>
      <c r="E36" s="84">
        <f t="shared" ca="1" si="3"/>
        <v>6</v>
      </c>
      <c r="F36" s="92">
        <f t="shared" ca="1" si="4"/>
        <v>3536400</v>
      </c>
      <c r="G36" s="12">
        <f t="shared" ca="1" si="5"/>
        <v>1</v>
      </c>
      <c r="H36" s="91">
        <f t="shared" ca="1" si="6"/>
        <v>1365000</v>
      </c>
      <c r="I36" s="12">
        <f t="shared" ca="1" si="7"/>
        <v>2</v>
      </c>
      <c r="J36" s="91">
        <f t="shared" ca="1" si="8"/>
        <v>1575000</v>
      </c>
      <c r="K36" s="12">
        <f t="shared" ca="1" si="9"/>
        <v>3</v>
      </c>
      <c r="L36" s="91">
        <f t="shared" ca="1" si="10"/>
        <v>596400</v>
      </c>
      <c r="N36" s="12">
        <f t="shared" ca="1" si="11"/>
        <v>1</v>
      </c>
      <c r="O36" s="91">
        <f t="shared" ca="1" si="12"/>
        <v>25900</v>
      </c>
      <c r="P36" s="12">
        <f t="shared" ca="1" si="13"/>
        <v>3</v>
      </c>
      <c r="Q36" s="91">
        <f t="shared" ca="1" si="14"/>
        <v>2940000</v>
      </c>
      <c r="R36" s="12">
        <f t="shared" ca="1" si="15"/>
        <v>0</v>
      </c>
      <c r="S36" s="91">
        <f t="shared" ca="1" si="16"/>
        <v>0</v>
      </c>
      <c r="T36" s="12">
        <f t="shared" ca="1" si="17"/>
        <v>2</v>
      </c>
      <c r="U36" s="91">
        <f t="shared" ca="1" si="18"/>
        <v>570500</v>
      </c>
      <c r="V36" s="12">
        <f t="shared" ca="1" si="19"/>
        <v>0</v>
      </c>
      <c r="W36" s="91">
        <f t="shared" ca="1" si="20"/>
        <v>0</v>
      </c>
      <c r="X36" s="12">
        <f t="shared" ca="1" si="21"/>
        <v>0</v>
      </c>
      <c r="Y36" s="91">
        <f t="shared" ca="1" si="22"/>
        <v>0</v>
      </c>
    </row>
    <row r="37" spans="1:25" s="4" customFormat="1" ht="15.75" hidden="1" thickBot="1" x14ac:dyDescent="0.3">
      <c r="A37" s="4">
        <v>92118</v>
      </c>
      <c r="B37" s="6"/>
      <c r="C37" s="6">
        <f t="shared" ca="1" si="23"/>
        <v>32</v>
      </c>
      <c r="D37" s="144">
        <f t="shared" ca="1" si="2"/>
        <v>0</v>
      </c>
      <c r="E37" s="84">
        <f t="shared" ca="1" si="3"/>
        <v>0</v>
      </c>
      <c r="F37" s="92">
        <f t="shared" ca="1" si="4"/>
        <v>0</v>
      </c>
      <c r="G37" s="12">
        <f t="shared" ca="1" si="5"/>
        <v>0</v>
      </c>
      <c r="H37" s="91">
        <f t="shared" ca="1" si="6"/>
        <v>0</v>
      </c>
      <c r="I37" s="12">
        <f t="shared" ca="1" si="7"/>
        <v>0</v>
      </c>
      <c r="J37" s="91">
        <f t="shared" ca="1" si="8"/>
        <v>0</v>
      </c>
      <c r="K37" s="12">
        <f t="shared" ca="1" si="9"/>
        <v>0</v>
      </c>
      <c r="L37" s="91">
        <f t="shared" ca="1" si="10"/>
        <v>0</v>
      </c>
      <c r="N37" s="12">
        <f t="shared" ca="1" si="11"/>
        <v>0</v>
      </c>
      <c r="O37" s="91">
        <f t="shared" ca="1" si="12"/>
        <v>0</v>
      </c>
      <c r="P37" s="12">
        <f t="shared" ca="1" si="13"/>
        <v>0</v>
      </c>
      <c r="Q37" s="91">
        <f t="shared" ca="1" si="14"/>
        <v>0</v>
      </c>
      <c r="R37" s="12">
        <f t="shared" ca="1" si="15"/>
        <v>0</v>
      </c>
      <c r="S37" s="91">
        <f t="shared" ca="1" si="16"/>
        <v>0</v>
      </c>
      <c r="T37" s="12">
        <f t="shared" ca="1" si="17"/>
        <v>0</v>
      </c>
      <c r="U37" s="91">
        <f t="shared" ca="1" si="18"/>
        <v>0</v>
      </c>
      <c r="V37" s="12">
        <f t="shared" ca="1" si="19"/>
        <v>0</v>
      </c>
      <c r="W37" s="91">
        <f t="shared" ca="1" si="20"/>
        <v>0</v>
      </c>
      <c r="X37" s="12">
        <f t="shared" ca="1" si="21"/>
        <v>0</v>
      </c>
      <c r="Y37" s="91">
        <f t="shared" ca="1" si="22"/>
        <v>0</v>
      </c>
    </row>
    <row r="38" spans="1:25" s="4" customFormat="1" ht="15.75" hidden="1" thickBot="1" x14ac:dyDescent="0.3">
      <c r="A38" s="4">
        <v>92119</v>
      </c>
      <c r="B38" s="6" t="s">
        <v>1313</v>
      </c>
      <c r="C38" s="6">
        <f t="shared" ca="1" si="23"/>
        <v>32</v>
      </c>
      <c r="D38" s="144">
        <f t="shared" ca="1" si="2"/>
        <v>0</v>
      </c>
      <c r="E38" s="84">
        <f t="shared" ca="1" si="3"/>
        <v>0</v>
      </c>
      <c r="F38" s="92">
        <f t="shared" ca="1" si="4"/>
        <v>0</v>
      </c>
      <c r="G38" s="12">
        <f t="shared" ca="1" si="5"/>
        <v>0</v>
      </c>
      <c r="H38" s="91">
        <f t="shared" ca="1" si="6"/>
        <v>0</v>
      </c>
      <c r="I38" s="12">
        <f t="shared" ca="1" si="7"/>
        <v>0</v>
      </c>
      <c r="J38" s="91">
        <f t="shared" ca="1" si="8"/>
        <v>0</v>
      </c>
      <c r="K38" s="12">
        <f t="shared" ca="1" si="9"/>
        <v>0</v>
      </c>
      <c r="L38" s="91">
        <f t="shared" ca="1" si="10"/>
        <v>0</v>
      </c>
      <c r="N38" s="12">
        <f t="shared" ca="1" si="11"/>
        <v>0</v>
      </c>
      <c r="O38" s="91">
        <f t="shared" ca="1" si="12"/>
        <v>0</v>
      </c>
      <c r="P38" s="12">
        <f t="shared" ca="1" si="13"/>
        <v>0</v>
      </c>
      <c r="Q38" s="91">
        <f t="shared" ca="1" si="14"/>
        <v>0</v>
      </c>
      <c r="R38" s="12">
        <f t="shared" ca="1" si="15"/>
        <v>0</v>
      </c>
      <c r="S38" s="91">
        <f t="shared" ca="1" si="16"/>
        <v>0</v>
      </c>
      <c r="T38" s="12">
        <f t="shared" ca="1" si="17"/>
        <v>0</v>
      </c>
      <c r="U38" s="91">
        <f t="shared" ca="1" si="18"/>
        <v>0</v>
      </c>
      <c r="V38" s="12">
        <f t="shared" ca="1" si="19"/>
        <v>0</v>
      </c>
      <c r="W38" s="91">
        <f t="shared" ca="1" si="20"/>
        <v>0</v>
      </c>
      <c r="X38" s="12">
        <f t="shared" ca="1" si="21"/>
        <v>0</v>
      </c>
      <c r="Y38" s="91">
        <f t="shared" ca="1" si="22"/>
        <v>0</v>
      </c>
    </row>
    <row r="39" spans="1:25" s="4" customFormat="1" ht="15.75" thickBot="1" x14ac:dyDescent="0.3">
      <c r="A39" s="4">
        <v>92120</v>
      </c>
      <c r="B39" s="6" t="s">
        <v>1312</v>
      </c>
      <c r="C39" s="6">
        <f t="shared" ca="1" si="23"/>
        <v>18</v>
      </c>
      <c r="D39" s="144">
        <f t="shared" ca="1" si="2"/>
        <v>4</v>
      </c>
      <c r="E39" s="84">
        <f t="shared" ca="1" si="3"/>
        <v>20</v>
      </c>
      <c r="F39" s="92">
        <f t="shared" ca="1" si="4"/>
        <v>7997000</v>
      </c>
      <c r="G39" s="12">
        <f t="shared" ca="1" si="5"/>
        <v>1</v>
      </c>
      <c r="H39" s="91">
        <f t="shared" ca="1" si="6"/>
        <v>1698000</v>
      </c>
      <c r="I39" s="12">
        <f t="shared" ca="1" si="7"/>
        <v>4</v>
      </c>
      <c r="J39" s="91">
        <f t="shared" ca="1" si="8"/>
        <v>2860000</v>
      </c>
      <c r="K39" s="12">
        <f t="shared" ca="1" si="9"/>
        <v>15</v>
      </c>
      <c r="L39" s="91">
        <f t="shared" ca="1" si="10"/>
        <v>3439000</v>
      </c>
      <c r="N39" s="12">
        <f t="shared" ca="1" si="11"/>
        <v>11</v>
      </c>
      <c r="O39" s="91">
        <f t="shared" ca="1" si="12"/>
        <v>5071000</v>
      </c>
      <c r="P39" s="12">
        <f t="shared" ca="1" si="13"/>
        <v>9</v>
      </c>
      <c r="Q39" s="91">
        <f t="shared" ca="1" si="14"/>
        <v>2926000</v>
      </c>
      <c r="R39" s="12">
        <f t="shared" ca="1" si="15"/>
        <v>0</v>
      </c>
      <c r="S39" s="91">
        <f t="shared" ca="1" si="16"/>
        <v>0</v>
      </c>
      <c r="T39" s="12">
        <f t="shared" ca="1" si="17"/>
        <v>0</v>
      </c>
      <c r="U39" s="91">
        <f t="shared" ca="1" si="18"/>
        <v>0</v>
      </c>
      <c r="V39" s="12">
        <f t="shared" ca="1" si="19"/>
        <v>0</v>
      </c>
      <c r="W39" s="91">
        <f t="shared" ca="1" si="20"/>
        <v>0</v>
      </c>
      <c r="X39" s="12">
        <f t="shared" ca="1" si="21"/>
        <v>0</v>
      </c>
      <c r="Y39" s="91">
        <f t="shared" ca="1" si="22"/>
        <v>0</v>
      </c>
    </row>
    <row r="40" spans="1:25" s="4" customFormat="1" ht="15.75" thickBot="1" x14ac:dyDescent="0.3">
      <c r="A40" s="4">
        <v>92121</v>
      </c>
      <c r="B40" s="6" t="s">
        <v>1313</v>
      </c>
      <c r="C40" s="6">
        <f t="shared" ca="1" si="23"/>
        <v>10</v>
      </c>
      <c r="D40" s="144">
        <f t="shared" ca="1" si="2"/>
        <v>12</v>
      </c>
      <c r="E40" s="84">
        <f t="shared" ca="1" si="3"/>
        <v>31</v>
      </c>
      <c r="F40" s="92">
        <f t="shared" ca="1" si="4"/>
        <v>19421000</v>
      </c>
      <c r="G40" s="12">
        <f t="shared" ca="1" si="5"/>
        <v>8</v>
      </c>
      <c r="H40" s="91">
        <f t="shared" ca="1" si="6"/>
        <v>10307000</v>
      </c>
      <c r="I40" s="12">
        <f t="shared" ca="1" si="7"/>
        <v>8</v>
      </c>
      <c r="J40" s="91">
        <f t="shared" ca="1" si="8"/>
        <v>5033000</v>
      </c>
      <c r="K40" s="12">
        <f t="shared" ca="1" si="9"/>
        <v>15</v>
      </c>
      <c r="L40" s="91">
        <f t="shared" ca="1" si="10"/>
        <v>4081000</v>
      </c>
      <c r="N40" s="12">
        <f t="shared" ca="1" si="11"/>
        <v>8</v>
      </c>
      <c r="O40" s="91">
        <f t="shared" ca="1" si="12"/>
        <v>3762000</v>
      </c>
      <c r="P40" s="12">
        <f t="shared" ca="1" si="13"/>
        <v>23</v>
      </c>
      <c r="Q40" s="91">
        <f t="shared" ca="1" si="14"/>
        <v>15659000</v>
      </c>
      <c r="R40" s="12">
        <f t="shared" ca="1" si="15"/>
        <v>0</v>
      </c>
      <c r="S40" s="91">
        <f t="shared" ca="1" si="16"/>
        <v>0</v>
      </c>
      <c r="T40" s="12">
        <f t="shared" ca="1" si="17"/>
        <v>0</v>
      </c>
      <c r="U40" s="91">
        <f t="shared" ca="1" si="18"/>
        <v>0</v>
      </c>
      <c r="V40" s="12">
        <f t="shared" ca="1" si="19"/>
        <v>0</v>
      </c>
      <c r="W40" s="91">
        <f t="shared" ca="1" si="20"/>
        <v>0</v>
      </c>
      <c r="X40" s="12">
        <f t="shared" ca="1" si="21"/>
        <v>0</v>
      </c>
      <c r="Y40" s="91">
        <f t="shared" ca="1" si="22"/>
        <v>0</v>
      </c>
    </row>
    <row r="41" spans="1:25" s="4" customFormat="1" ht="15.75" thickBot="1" x14ac:dyDescent="0.3">
      <c r="A41" s="4">
        <v>92122</v>
      </c>
      <c r="B41" s="6" t="s">
        <v>1312</v>
      </c>
      <c r="C41" s="6">
        <f t="shared" ca="1" si="23"/>
        <v>21</v>
      </c>
      <c r="D41" s="144">
        <f t="shared" ca="1" si="2"/>
        <v>2</v>
      </c>
      <c r="E41" s="84">
        <f t="shared" ca="1" si="3"/>
        <v>13</v>
      </c>
      <c r="F41" s="92">
        <f t="shared" ca="1" si="4"/>
        <v>5789000</v>
      </c>
      <c r="G41" s="12">
        <f t="shared" ca="1" si="5"/>
        <v>2</v>
      </c>
      <c r="H41" s="91">
        <f t="shared" ca="1" si="6"/>
        <v>2100000</v>
      </c>
      <c r="I41" s="12">
        <f t="shared" ca="1" si="7"/>
        <v>3</v>
      </c>
      <c r="J41" s="91">
        <f t="shared" ca="1" si="8"/>
        <v>1918000</v>
      </c>
      <c r="K41" s="12">
        <f t="shared" ca="1" si="9"/>
        <v>8</v>
      </c>
      <c r="L41" s="91">
        <f t="shared" ca="1" si="10"/>
        <v>1771000</v>
      </c>
      <c r="N41" s="12">
        <f t="shared" ca="1" si="11"/>
        <v>4</v>
      </c>
      <c r="O41" s="91">
        <f t="shared" ca="1" si="12"/>
        <v>707000</v>
      </c>
      <c r="P41" s="12">
        <f t="shared" ca="1" si="13"/>
        <v>6</v>
      </c>
      <c r="Q41" s="91">
        <f t="shared" ca="1" si="14"/>
        <v>3724000</v>
      </c>
      <c r="R41" s="12">
        <f t="shared" ca="1" si="15"/>
        <v>3</v>
      </c>
      <c r="S41" s="91">
        <f t="shared" ca="1" si="16"/>
        <v>1358000</v>
      </c>
      <c r="T41" s="12">
        <f t="shared" ca="1" si="17"/>
        <v>0</v>
      </c>
      <c r="U41" s="91">
        <f t="shared" ca="1" si="18"/>
        <v>0</v>
      </c>
      <c r="V41" s="12">
        <f t="shared" ca="1" si="19"/>
        <v>0</v>
      </c>
      <c r="W41" s="91">
        <f t="shared" ca="1" si="20"/>
        <v>0</v>
      </c>
      <c r="X41" s="12">
        <f t="shared" ca="1" si="21"/>
        <v>0</v>
      </c>
      <c r="Y41" s="91">
        <f t="shared" ca="1" si="22"/>
        <v>0</v>
      </c>
    </row>
    <row r="42" spans="1:25" s="4" customFormat="1" ht="15.75" thickBot="1" x14ac:dyDescent="0.3">
      <c r="A42" s="4">
        <v>92123</v>
      </c>
      <c r="B42" s="6" t="s">
        <v>1312</v>
      </c>
      <c r="C42" s="6">
        <f t="shared" ca="1" si="23"/>
        <v>7</v>
      </c>
      <c r="D42" s="144">
        <f t="shared" ca="1" si="2"/>
        <v>11</v>
      </c>
      <c r="E42" s="84">
        <f t="shared" ca="1" si="3"/>
        <v>29</v>
      </c>
      <c r="F42" s="92">
        <f t="shared" ca="1" si="4"/>
        <v>24067420</v>
      </c>
      <c r="G42" s="12">
        <f t="shared" ca="1" si="5"/>
        <v>10</v>
      </c>
      <c r="H42" s="91">
        <f t="shared" ca="1" si="6"/>
        <v>15253000</v>
      </c>
      <c r="I42" s="12">
        <f t="shared" ca="1" si="7"/>
        <v>7</v>
      </c>
      <c r="J42" s="91">
        <f t="shared" ca="1" si="8"/>
        <v>5600000</v>
      </c>
      <c r="K42" s="12">
        <f t="shared" ca="1" si="9"/>
        <v>12</v>
      </c>
      <c r="L42" s="91">
        <f t="shared" ca="1" si="10"/>
        <v>3214420</v>
      </c>
      <c r="N42" s="12">
        <f t="shared" ca="1" si="11"/>
        <v>13</v>
      </c>
      <c r="O42" s="91">
        <f t="shared" ca="1" si="12"/>
        <v>7715420</v>
      </c>
      <c r="P42" s="12">
        <f t="shared" ca="1" si="13"/>
        <v>14</v>
      </c>
      <c r="Q42" s="91">
        <f t="shared" ca="1" si="14"/>
        <v>15533000</v>
      </c>
      <c r="R42" s="12">
        <f t="shared" ca="1" si="15"/>
        <v>2</v>
      </c>
      <c r="S42" s="91">
        <f t="shared" ca="1" si="16"/>
        <v>819000</v>
      </c>
      <c r="T42" s="12">
        <f t="shared" ca="1" si="17"/>
        <v>0</v>
      </c>
      <c r="U42" s="91">
        <f t="shared" ca="1" si="18"/>
        <v>0</v>
      </c>
      <c r="V42" s="12">
        <f t="shared" ca="1" si="19"/>
        <v>0</v>
      </c>
      <c r="W42" s="91">
        <f t="shared" ca="1" si="20"/>
        <v>0</v>
      </c>
      <c r="X42" s="12">
        <f t="shared" ca="1" si="21"/>
        <v>0</v>
      </c>
      <c r="Y42" s="91">
        <f t="shared" ca="1" si="22"/>
        <v>0</v>
      </c>
    </row>
    <row r="43" spans="1:25" s="4" customFormat="1" ht="15.75" hidden="1" thickBot="1" x14ac:dyDescent="0.3">
      <c r="A43" s="4">
        <v>92124</v>
      </c>
      <c r="B43" s="6"/>
      <c r="C43" s="6">
        <f t="shared" ca="1" si="23"/>
        <v>32</v>
      </c>
      <c r="D43" s="144">
        <f t="shared" ca="1" si="2"/>
        <v>0</v>
      </c>
      <c r="E43" s="84">
        <f t="shared" ca="1" si="3"/>
        <v>0</v>
      </c>
      <c r="F43" s="92">
        <f t="shared" ca="1" si="4"/>
        <v>0</v>
      </c>
      <c r="G43" s="12">
        <f t="shared" ca="1" si="5"/>
        <v>0</v>
      </c>
      <c r="H43" s="91">
        <f t="shared" ca="1" si="6"/>
        <v>0</v>
      </c>
      <c r="I43" s="12">
        <f t="shared" ca="1" si="7"/>
        <v>0</v>
      </c>
      <c r="J43" s="91">
        <f t="shared" ca="1" si="8"/>
        <v>0</v>
      </c>
      <c r="K43" s="12">
        <f t="shared" ca="1" si="9"/>
        <v>0</v>
      </c>
      <c r="L43" s="91">
        <f t="shared" ca="1" si="10"/>
        <v>0</v>
      </c>
      <c r="N43" s="12">
        <f t="shared" ca="1" si="11"/>
        <v>0</v>
      </c>
      <c r="O43" s="91">
        <f t="shared" ca="1" si="12"/>
        <v>0</v>
      </c>
      <c r="P43" s="12">
        <f t="shared" ca="1" si="13"/>
        <v>0</v>
      </c>
      <c r="Q43" s="91">
        <f t="shared" ca="1" si="14"/>
        <v>0</v>
      </c>
      <c r="R43" s="12">
        <f t="shared" ca="1" si="15"/>
        <v>0</v>
      </c>
      <c r="S43" s="91">
        <f t="shared" ca="1" si="16"/>
        <v>0</v>
      </c>
      <c r="T43" s="12">
        <f t="shared" ca="1" si="17"/>
        <v>0</v>
      </c>
      <c r="U43" s="91">
        <f t="shared" ca="1" si="18"/>
        <v>0</v>
      </c>
      <c r="V43" s="12">
        <f t="shared" ca="1" si="19"/>
        <v>0</v>
      </c>
      <c r="W43" s="91">
        <f t="shared" ca="1" si="20"/>
        <v>0</v>
      </c>
      <c r="X43" s="12">
        <f t="shared" ca="1" si="21"/>
        <v>0</v>
      </c>
      <c r="Y43" s="91">
        <f t="shared" ca="1" si="22"/>
        <v>0</v>
      </c>
    </row>
    <row r="44" spans="1:25" s="4" customFormat="1" ht="15.75" hidden="1" thickBot="1" x14ac:dyDescent="0.3">
      <c r="A44" s="58">
        <v>92125</v>
      </c>
      <c r="B44" s="140"/>
      <c r="C44" s="6">
        <f t="shared" ca="1" si="23"/>
        <v>32</v>
      </c>
      <c r="D44" s="144">
        <f t="shared" ca="1" si="2"/>
        <v>0</v>
      </c>
      <c r="E44" s="84">
        <f t="shared" ca="1" si="3"/>
        <v>0</v>
      </c>
      <c r="F44" s="92">
        <f t="shared" ca="1" si="4"/>
        <v>0</v>
      </c>
      <c r="G44" s="12">
        <f t="shared" ca="1" si="5"/>
        <v>0</v>
      </c>
      <c r="H44" s="91">
        <f t="shared" ca="1" si="6"/>
        <v>0</v>
      </c>
      <c r="I44" s="12">
        <f t="shared" ca="1" si="7"/>
        <v>0</v>
      </c>
      <c r="J44" s="91">
        <f t="shared" ca="1" si="8"/>
        <v>0</v>
      </c>
      <c r="K44" s="12">
        <f t="shared" ca="1" si="9"/>
        <v>0</v>
      </c>
      <c r="L44" s="91">
        <f t="shared" ca="1" si="10"/>
        <v>0</v>
      </c>
      <c r="N44" s="12">
        <f t="shared" ca="1" si="11"/>
        <v>0</v>
      </c>
      <c r="O44" s="91">
        <f t="shared" ca="1" si="12"/>
        <v>0</v>
      </c>
      <c r="P44" s="12">
        <f t="shared" ca="1" si="13"/>
        <v>0</v>
      </c>
      <c r="Q44" s="91">
        <f t="shared" ca="1" si="14"/>
        <v>0</v>
      </c>
      <c r="R44" s="12">
        <f t="shared" ca="1" si="15"/>
        <v>0</v>
      </c>
      <c r="S44" s="91">
        <f t="shared" ca="1" si="16"/>
        <v>0</v>
      </c>
      <c r="T44" s="12">
        <f t="shared" ca="1" si="17"/>
        <v>0</v>
      </c>
      <c r="U44" s="91">
        <f t="shared" ca="1" si="18"/>
        <v>0</v>
      </c>
      <c r="V44" s="12">
        <f t="shared" ca="1" si="19"/>
        <v>0</v>
      </c>
      <c r="W44" s="91">
        <f t="shared" ca="1" si="20"/>
        <v>0</v>
      </c>
      <c r="X44" s="12">
        <f t="shared" ca="1" si="21"/>
        <v>0</v>
      </c>
      <c r="Y44" s="91">
        <f t="shared" ca="1" si="22"/>
        <v>0</v>
      </c>
    </row>
    <row r="45" spans="1:25" s="4" customFormat="1" ht="15.75" thickBot="1" x14ac:dyDescent="0.3">
      <c r="A45" s="4">
        <v>92126</v>
      </c>
      <c r="B45" s="6" t="s">
        <v>1313</v>
      </c>
      <c r="C45" s="6">
        <f t="shared" ca="1" si="23"/>
        <v>14</v>
      </c>
      <c r="D45" s="144">
        <f t="shared" ca="1" si="2"/>
        <v>4</v>
      </c>
      <c r="E45" s="84">
        <f t="shared" ca="1" si="3"/>
        <v>23</v>
      </c>
      <c r="F45" s="92">
        <f t="shared" ca="1" si="4"/>
        <v>12082000</v>
      </c>
      <c r="G45" s="12">
        <f t="shared" ca="1" si="5"/>
        <v>2</v>
      </c>
      <c r="H45" s="91">
        <f t="shared" ca="1" si="6"/>
        <v>2233000</v>
      </c>
      <c r="I45" s="12">
        <f t="shared" ca="1" si="7"/>
        <v>9</v>
      </c>
      <c r="J45" s="91">
        <f t="shared" ca="1" si="8"/>
        <v>6157000</v>
      </c>
      <c r="K45" s="12">
        <f t="shared" ca="1" si="9"/>
        <v>12</v>
      </c>
      <c r="L45" s="91">
        <f t="shared" ca="1" si="10"/>
        <v>3692000</v>
      </c>
      <c r="N45" s="12">
        <f t="shared" ca="1" si="11"/>
        <v>7</v>
      </c>
      <c r="O45" s="91">
        <f t="shared" ca="1" si="12"/>
        <v>2758000</v>
      </c>
      <c r="P45" s="12">
        <f t="shared" ca="1" si="13"/>
        <v>15</v>
      </c>
      <c r="Q45" s="91">
        <f t="shared" ca="1" si="14"/>
        <v>8827000</v>
      </c>
      <c r="R45" s="12">
        <f t="shared" ca="1" si="15"/>
        <v>1</v>
      </c>
      <c r="S45" s="91">
        <f t="shared" ca="1" si="16"/>
        <v>497000</v>
      </c>
      <c r="T45" s="12">
        <f t="shared" ca="1" si="17"/>
        <v>0</v>
      </c>
      <c r="U45" s="91">
        <f t="shared" ca="1" si="18"/>
        <v>0</v>
      </c>
      <c r="V45" s="12">
        <f t="shared" ca="1" si="19"/>
        <v>0</v>
      </c>
      <c r="W45" s="91">
        <f t="shared" ca="1" si="20"/>
        <v>0</v>
      </c>
      <c r="X45" s="12">
        <f t="shared" ca="1" si="21"/>
        <v>0</v>
      </c>
      <c r="Y45" s="91">
        <f t="shared" ca="1" si="22"/>
        <v>0</v>
      </c>
    </row>
    <row r="46" spans="1:25" s="4" customFormat="1" ht="15.75" thickBot="1" x14ac:dyDescent="0.3">
      <c r="A46" s="4">
        <v>92127</v>
      </c>
      <c r="B46" s="6" t="s">
        <v>1313</v>
      </c>
      <c r="C46" s="6">
        <f t="shared" ca="1" si="23"/>
        <v>5</v>
      </c>
      <c r="D46" s="144">
        <f t="shared" ca="1" si="2"/>
        <v>11</v>
      </c>
      <c r="E46" s="84">
        <f t="shared" ca="1" si="3"/>
        <v>41</v>
      </c>
      <c r="F46" s="92">
        <f t="shared" ca="1" si="4"/>
        <v>27734000</v>
      </c>
      <c r="G46" s="12">
        <f t="shared" ca="1" si="5"/>
        <v>6</v>
      </c>
      <c r="H46" s="91">
        <f t="shared" ca="1" si="6"/>
        <v>8887000</v>
      </c>
      <c r="I46" s="12">
        <f t="shared" ca="1" si="7"/>
        <v>20</v>
      </c>
      <c r="J46" s="91">
        <f t="shared" ca="1" si="8"/>
        <v>14367000</v>
      </c>
      <c r="K46" s="12">
        <f t="shared" ca="1" si="9"/>
        <v>15</v>
      </c>
      <c r="L46" s="91">
        <f t="shared" ca="1" si="10"/>
        <v>4480000</v>
      </c>
      <c r="N46" s="12">
        <f t="shared" ca="1" si="11"/>
        <v>11</v>
      </c>
      <c r="O46" s="91">
        <f t="shared" ca="1" si="12"/>
        <v>8365000</v>
      </c>
      <c r="P46" s="12">
        <f t="shared" ca="1" si="13"/>
        <v>30</v>
      </c>
      <c r="Q46" s="91">
        <f t="shared" ca="1" si="14"/>
        <v>19369000</v>
      </c>
      <c r="R46" s="12">
        <f t="shared" ca="1" si="15"/>
        <v>0</v>
      </c>
      <c r="S46" s="91">
        <f t="shared" ca="1" si="16"/>
        <v>0</v>
      </c>
      <c r="T46" s="12">
        <f t="shared" ca="1" si="17"/>
        <v>0</v>
      </c>
      <c r="U46" s="91">
        <f t="shared" ca="1" si="18"/>
        <v>0</v>
      </c>
      <c r="V46" s="12">
        <f t="shared" ca="1" si="19"/>
        <v>0</v>
      </c>
      <c r="W46" s="91">
        <f t="shared" ca="1" si="20"/>
        <v>0</v>
      </c>
      <c r="X46" s="12">
        <f t="shared" ca="1" si="21"/>
        <v>0</v>
      </c>
      <c r="Y46" s="91">
        <f t="shared" ca="1" si="22"/>
        <v>0</v>
      </c>
    </row>
    <row r="47" spans="1:25" s="4" customFormat="1" ht="15.75" thickBot="1" x14ac:dyDescent="0.3">
      <c r="A47" s="4">
        <v>92128</v>
      </c>
      <c r="B47" s="6" t="s">
        <v>1313</v>
      </c>
      <c r="C47" s="6">
        <f t="shared" ca="1" si="23"/>
        <v>13</v>
      </c>
      <c r="D47" s="144">
        <f t="shared" ca="1" si="2"/>
        <v>5</v>
      </c>
      <c r="E47" s="84">
        <f t="shared" ca="1" si="3"/>
        <v>24</v>
      </c>
      <c r="F47" s="92">
        <f t="shared" ca="1" si="4"/>
        <v>12654000</v>
      </c>
      <c r="G47" s="12">
        <f t="shared" ca="1" si="5"/>
        <v>2</v>
      </c>
      <c r="H47" s="91">
        <f t="shared" ca="1" si="6"/>
        <v>2156000</v>
      </c>
      <c r="I47" s="12">
        <f t="shared" ca="1" si="7"/>
        <v>8</v>
      </c>
      <c r="J47" s="91">
        <f t="shared" ca="1" si="8"/>
        <v>5781000</v>
      </c>
      <c r="K47" s="12">
        <f t="shared" ca="1" si="9"/>
        <v>14</v>
      </c>
      <c r="L47" s="91">
        <f t="shared" ca="1" si="10"/>
        <v>4717000</v>
      </c>
      <c r="N47" s="12">
        <f t="shared" ca="1" si="11"/>
        <v>9</v>
      </c>
      <c r="O47" s="91">
        <f t="shared" ca="1" si="12"/>
        <v>4149000</v>
      </c>
      <c r="P47" s="12">
        <f t="shared" ca="1" si="13"/>
        <v>15</v>
      </c>
      <c r="Q47" s="91">
        <f t="shared" ca="1" si="14"/>
        <v>8505000</v>
      </c>
      <c r="R47" s="12">
        <f t="shared" ca="1" si="15"/>
        <v>0</v>
      </c>
      <c r="S47" s="91">
        <f t="shared" ca="1" si="16"/>
        <v>0</v>
      </c>
      <c r="T47" s="12">
        <f t="shared" ca="1" si="17"/>
        <v>0</v>
      </c>
      <c r="U47" s="91">
        <f t="shared" ca="1" si="18"/>
        <v>0</v>
      </c>
      <c r="V47" s="12">
        <f t="shared" ca="1" si="19"/>
        <v>0</v>
      </c>
      <c r="W47" s="91">
        <f t="shared" ca="1" si="20"/>
        <v>0</v>
      </c>
      <c r="X47" s="12">
        <f t="shared" ca="1" si="21"/>
        <v>0</v>
      </c>
      <c r="Y47" s="91">
        <f t="shared" ca="1" si="22"/>
        <v>0</v>
      </c>
    </row>
    <row r="48" spans="1:25" s="4" customFormat="1" ht="15.75" thickBot="1" x14ac:dyDescent="0.3">
      <c r="A48" s="4">
        <v>92129</v>
      </c>
      <c r="B48" s="6" t="s">
        <v>1313</v>
      </c>
      <c r="C48" s="6">
        <f t="shared" ca="1" si="23"/>
        <v>24</v>
      </c>
      <c r="D48" s="144">
        <f t="shared" ca="1" si="2"/>
        <v>4</v>
      </c>
      <c r="E48" s="84">
        <f t="shared" ca="1" si="3"/>
        <v>7</v>
      </c>
      <c r="F48" s="92">
        <f t="shared" ca="1" si="4"/>
        <v>5278000</v>
      </c>
      <c r="G48" s="12">
        <f t="shared" ca="1" si="5"/>
        <v>3</v>
      </c>
      <c r="H48" s="91">
        <f t="shared" ca="1" si="6"/>
        <v>3486000</v>
      </c>
      <c r="I48" s="12">
        <f t="shared" ca="1" si="7"/>
        <v>1</v>
      </c>
      <c r="J48" s="91">
        <f t="shared" ca="1" si="8"/>
        <v>707000</v>
      </c>
      <c r="K48" s="12">
        <f t="shared" ca="1" si="9"/>
        <v>3</v>
      </c>
      <c r="L48" s="91">
        <f t="shared" ca="1" si="10"/>
        <v>1085000</v>
      </c>
      <c r="N48" s="12">
        <f t="shared" ca="1" si="11"/>
        <v>1</v>
      </c>
      <c r="O48" s="91">
        <f t="shared" ca="1" si="12"/>
        <v>210000</v>
      </c>
      <c r="P48" s="12">
        <f t="shared" ca="1" si="13"/>
        <v>6</v>
      </c>
      <c r="Q48" s="91">
        <f t="shared" ca="1" si="14"/>
        <v>5068000</v>
      </c>
      <c r="R48" s="12">
        <f t="shared" ca="1" si="15"/>
        <v>0</v>
      </c>
      <c r="S48" s="91">
        <f t="shared" ca="1" si="16"/>
        <v>0</v>
      </c>
      <c r="T48" s="12">
        <f t="shared" ca="1" si="17"/>
        <v>0</v>
      </c>
      <c r="U48" s="91">
        <f t="shared" ca="1" si="18"/>
        <v>0</v>
      </c>
      <c r="V48" s="12">
        <f t="shared" ca="1" si="19"/>
        <v>1</v>
      </c>
      <c r="W48" s="91">
        <f t="shared" ca="1" si="20"/>
        <v>1120000</v>
      </c>
      <c r="X48" s="12">
        <f t="shared" ca="1" si="21"/>
        <v>0</v>
      </c>
      <c r="Y48" s="91">
        <f t="shared" ca="1" si="22"/>
        <v>0</v>
      </c>
    </row>
    <row r="49" spans="1:25" s="4" customFormat="1" ht="15.75" thickBot="1" x14ac:dyDescent="0.3">
      <c r="A49" s="4">
        <v>92130</v>
      </c>
      <c r="B49" s="6" t="s">
        <v>1313</v>
      </c>
      <c r="C49" s="6">
        <f t="shared" ca="1" si="23"/>
        <v>15</v>
      </c>
      <c r="D49" s="144">
        <f t="shared" ca="1" si="2"/>
        <v>5</v>
      </c>
      <c r="E49" s="84">
        <f t="shared" ca="1" si="3"/>
        <v>19</v>
      </c>
      <c r="F49" s="92">
        <f t="shared" ca="1" si="4"/>
        <v>10451000</v>
      </c>
      <c r="G49" s="12">
        <f t="shared" ca="1" si="5"/>
        <v>2</v>
      </c>
      <c r="H49" s="91">
        <f t="shared" ca="1" si="6"/>
        <v>3549000</v>
      </c>
      <c r="I49" s="12">
        <f t="shared" ca="1" si="7"/>
        <v>5</v>
      </c>
      <c r="J49" s="91">
        <f t="shared" ca="1" si="8"/>
        <v>3507000</v>
      </c>
      <c r="K49" s="12">
        <f t="shared" ca="1" si="9"/>
        <v>12</v>
      </c>
      <c r="L49" s="91">
        <f t="shared" ca="1" si="10"/>
        <v>3395000</v>
      </c>
      <c r="N49" s="12">
        <f t="shared" ca="1" si="11"/>
        <v>2</v>
      </c>
      <c r="O49" s="91">
        <f t="shared" ca="1" si="12"/>
        <v>301000</v>
      </c>
      <c r="P49" s="12">
        <f t="shared" ca="1" si="13"/>
        <v>16</v>
      </c>
      <c r="Q49" s="91">
        <f t="shared" ca="1" si="14"/>
        <v>9051000</v>
      </c>
      <c r="R49" s="12">
        <f t="shared" ca="1" si="15"/>
        <v>1</v>
      </c>
      <c r="S49" s="91">
        <f t="shared" ca="1" si="16"/>
        <v>1099000</v>
      </c>
      <c r="T49" s="12">
        <f t="shared" ca="1" si="17"/>
        <v>0</v>
      </c>
      <c r="U49" s="91">
        <f t="shared" ca="1" si="18"/>
        <v>0</v>
      </c>
      <c r="V49" s="12">
        <f t="shared" ca="1" si="19"/>
        <v>0</v>
      </c>
      <c r="W49" s="91">
        <f t="shared" ca="1" si="20"/>
        <v>0</v>
      </c>
      <c r="X49" s="12">
        <f t="shared" ca="1" si="21"/>
        <v>0</v>
      </c>
      <c r="Y49" s="91">
        <f t="shared" ca="1" si="22"/>
        <v>0</v>
      </c>
    </row>
    <row r="50" spans="1:25" s="4" customFormat="1" ht="15.75" thickBot="1" x14ac:dyDescent="0.3">
      <c r="A50" s="4">
        <v>92131</v>
      </c>
      <c r="B50" s="6" t="s">
        <v>1313</v>
      </c>
      <c r="C50" s="6">
        <f t="shared" ca="1" si="23"/>
        <v>29</v>
      </c>
      <c r="D50" s="144">
        <f t="shared" ca="1" si="2"/>
        <v>1</v>
      </c>
      <c r="E50" s="84">
        <f t="shared" ca="1" si="3"/>
        <v>2</v>
      </c>
      <c r="F50" s="92">
        <f t="shared" ca="1" si="4"/>
        <v>1778000</v>
      </c>
      <c r="G50" s="12">
        <f t="shared" ca="1" si="5"/>
        <v>1</v>
      </c>
      <c r="H50" s="91">
        <f t="shared" ca="1" si="6"/>
        <v>1505000</v>
      </c>
      <c r="I50" s="12">
        <f t="shared" ca="1" si="7"/>
        <v>0</v>
      </c>
      <c r="J50" s="91">
        <f t="shared" ca="1" si="8"/>
        <v>0</v>
      </c>
      <c r="K50" s="12">
        <f t="shared" ca="1" si="9"/>
        <v>1</v>
      </c>
      <c r="L50" s="91">
        <f t="shared" ca="1" si="10"/>
        <v>273000</v>
      </c>
      <c r="N50" s="12">
        <f t="shared" ca="1" si="11"/>
        <v>1</v>
      </c>
      <c r="O50" s="91">
        <f t="shared" ca="1" si="12"/>
        <v>273000</v>
      </c>
      <c r="P50" s="12">
        <f t="shared" ca="1" si="13"/>
        <v>1</v>
      </c>
      <c r="Q50" s="91">
        <f t="shared" ca="1" si="14"/>
        <v>1505000</v>
      </c>
      <c r="R50" s="12">
        <f t="shared" ca="1" si="15"/>
        <v>0</v>
      </c>
      <c r="S50" s="91">
        <f t="shared" ca="1" si="16"/>
        <v>0</v>
      </c>
      <c r="T50" s="12">
        <f t="shared" ca="1" si="17"/>
        <v>0</v>
      </c>
      <c r="U50" s="91">
        <f t="shared" ca="1" si="18"/>
        <v>0</v>
      </c>
      <c r="V50" s="12">
        <f t="shared" ca="1" si="19"/>
        <v>0</v>
      </c>
      <c r="W50" s="91">
        <f t="shared" ca="1" si="20"/>
        <v>0</v>
      </c>
      <c r="X50" s="12">
        <f t="shared" ref="X50:X81" ca="1" si="24">COUNTIFS(ZIP_5,$A50,PV_Type,X$9)</f>
        <v>0</v>
      </c>
      <c r="Y50" s="91">
        <f t="shared" ref="Y50:Y81" ca="1" si="25">SUMIFS(Struc_W,ZIP_5,$A50,PV_Type,X$9)</f>
        <v>0</v>
      </c>
    </row>
    <row r="51" spans="1:25" s="4" customFormat="1" ht="15.75" hidden="1" thickBot="1" x14ac:dyDescent="0.3">
      <c r="A51" s="4">
        <v>92132</v>
      </c>
      <c r="B51" s="6"/>
      <c r="C51" s="6">
        <f t="shared" ca="1" si="23"/>
        <v>32</v>
      </c>
      <c r="D51" s="144">
        <f t="shared" ca="1" si="2"/>
        <v>0</v>
      </c>
      <c r="E51" s="84">
        <f t="shared" ca="1" si="3"/>
        <v>0</v>
      </c>
      <c r="F51" s="92">
        <f t="shared" ca="1" si="4"/>
        <v>0</v>
      </c>
      <c r="G51" s="12">
        <f t="shared" ca="1" si="5"/>
        <v>0</v>
      </c>
      <c r="H51" s="91">
        <f t="shared" ca="1" si="6"/>
        <v>0</v>
      </c>
      <c r="I51" s="12">
        <f t="shared" ca="1" si="7"/>
        <v>0</v>
      </c>
      <c r="J51" s="91">
        <f t="shared" ca="1" si="8"/>
        <v>0</v>
      </c>
      <c r="K51" s="12">
        <f t="shared" ca="1" si="9"/>
        <v>0</v>
      </c>
      <c r="L51" s="91">
        <f t="shared" ca="1" si="10"/>
        <v>0</v>
      </c>
      <c r="N51" s="12">
        <f t="shared" ca="1" si="11"/>
        <v>0</v>
      </c>
      <c r="O51" s="91">
        <f t="shared" ca="1" si="12"/>
        <v>0</v>
      </c>
      <c r="P51" s="12">
        <f t="shared" ca="1" si="13"/>
        <v>0</v>
      </c>
      <c r="Q51" s="91">
        <f t="shared" ca="1" si="14"/>
        <v>0</v>
      </c>
      <c r="R51" s="12">
        <f t="shared" ca="1" si="15"/>
        <v>0</v>
      </c>
      <c r="S51" s="91">
        <f t="shared" ca="1" si="16"/>
        <v>0</v>
      </c>
      <c r="T51" s="12">
        <f t="shared" ca="1" si="17"/>
        <v>0</v>
      </c>
      <c r="U51" s="91">
        <f t="shared" ca="1" si="18"/>
        <v>0</v>
      </c>
      <c r="V51" s="12">
        <f t="shared" ca="1" si="19"/>
        <v>0</v>
      </c>
      <c r="W51" s="91">
        <f t="shared" ca="1" si="20"/>
        <v>0</v>
      </c>
      <c r="X51" s="12">
        <f t="shared" ca="1" si="24"/>
        <v>0</v>
      </c>
      <c r="Y51" s="91">
        <f t="shared" ca="1" si="25"/>
        <v>0</v>
      </c>
    </row>
    <row r="52" spans="1:25" s="4" customFormat="1" ht="15.75" hidden="1" thickBot="1" x14ac:dyDescent="0.3">
      <c r="A52" s="58">
        <v>92133</v>
      </c>
      <c r="B52" s="140"/>
      <c r="C52" s="6">
        <f t="shared" ca="1" si="23"/>
        <v>32</v>
      </c>
      <c r="D52" s="144">
        <f t="shared" ref="D52:D83" ca="1" si="26">COUNTIFS(Site_Sum_W,"&gt;0",ZIP_5,$A52)</f>
        <v>0</v>
      </c>
      <c r="E52" s="84">
        <f t="shared" ref="E52:E83" ca="1" si="27">COUNTIFS(Struc_W,"&gt;0",ZIP_5,$A52)</f>
        <v>0</v>
      </c>
      <c r="F52" s="92">
        <f t="shared" ref="F52:F83" ca="1" si="28">SUMIFS(Struc_W,ZIP_5,$A52)</f>
        <v>0</v>
      </c>
      <c r="G52" s="12">
        <f t="shared" ref="G52:G83" ca="1" si="29">COUNTIFS(ZIP_5,$A52,Struc_W,"&gt;=" &amp;TEXT(H$9,"0"))</f>
        <v>0</v>
      </c>
      <c r="H52" s="91">
        <f t="shared" ref="H52:H83" ca="1" si="30">SUMIFS(Struc_W,ZIP_5,$A52,Struc_W,"&gt;=" &amp;TEXT(H$9,"0"))</f>
        <v>0</v>
      </c>
      <c r="I52" s="12">
        <f t="shared" ref="I52:I83" ca="1" si="31">COUNTIFS(ZIP_5,$A52,Struc_W,"&lt;" &amp;TEXT(H$9,"0"),Struc_W,"&gt;=" &amp;TEXT($J$9,"0"))</f>
        <v>0</v>
      </c>
      <c r="J52" s="91">
        <f t="shared" ref="J52:J83" ca="1" si="32">SUMIFS(Struc_W,ZIP_5,$A52,Struc_W,"&lt;" &amp;TEXT(H$9,"0"),Struc_W,"&gt;=" &amp;TEXT($J$9,"0"))</f>
        <v>0</v>
      </c>
      <c r="K52" s="12">
        <f t="shared" ref="K52:K83" ca="1" si="33">COUNTIFS(ZIP_5,$A52,Struc_W,"&lt;"&amp;TEXT(L$9,"0"),Struc_W,"&gt;0")</f>
        <v>0</v>
      </c>
      <c r="L52" s="91">
        <f t="shared" ref="L52:L83" ca="1" si="34">SUMIFS(Struc_W,ZIP_5,$A52,Struc_W,"&lt;" &amp;TEXT(L$9,"0"))</f>
        <v>0</v>
      </c>
      <c r="N52" s="12">
        <f t="shared" ref="N52:N83" ca="1" si="35">COUNTIFS(ZIP_5,$A52,PV_Type,N$9)</f>
        <v>0</v>
      </c>
      <c r="O52" s="91">
        <f t="shared" ref="O52:O83" ca="1" si="36">SUMIFS(Struc_W,ZIP_5,$A52,PV_Type,N$9)</f>
        <v>0</v>
      </c>
      <c r="P52" s="12">
        <f t="shared" ref="P52:P83" ca="1" si="37">COUNTIFS(ZIP_5,$A52,PV_Type,P$9)</f>
        <v>0</v>
      </c>
      <c r="Q52" s="91">
        <f t="shared" ref="Q52:Q83" ca="1" si="38">SUMIFS(Struc_W,ZIP_5,$A52,PV_Type,P$9)</f>
        <v>0</v>
      </c>
      <c r="R52" s="12">
        <f t="shared" ref="R52:R83" ca="1" si="39">COUNTIFS(ZIP_5,$A52,PV_Type,R$9)</f>
        <v>0</v>
      </c>
      <c r="S52" s="91">
        <f t="shared" ref="S52:S83" ca="1" si="40">SUMIFS(Struc_W,ZIP_5,$A52,PV_Type,R$9)</f>
        <v>0</v>
      </c>
      <c r="T52" s="12">
        <f t="shared" ref="T52:T83" ca="1" si="41">COUNTIFS(ZIP_5,$A52,PV_Type,T$9)</f>
        <v>0</v>
      </c>
      <c r="U52" s="91">
        <f t="shared" ref="U52:U83" ca="1" si="42">SUMIFS(Struc_W,ZIP_5,$A52,PV_Type,T$9)</f>
        <v>0</v>
      </c>
      <c r="V52" s="12">
        <f t="shared" ref="V52:V83" ca="1" si="43">COUNTIFS(ZIP_5,$A52,Map_Sym,V$9)</f>
        <v>0</v>
      </c>
      <c r="W52" s="91">
        <f t="shared" ref="W52:W83" ca="1" si="44">SUMIFS(Struc_W,ZIP_5,$A52,Map_Sym,V$9)</f>
        <v>0</v>
      </c>
      <c r="X52" s="12">
        <f t="shared" ca="1" si="24"/>
        <v>0</v>
      </c>
      <c r="Y52" s="91">
        <f t="shared" ca="1" si="25"/>
        <v>0</v>
      </c>
    </row>
    <row r="53" spans="1:25" s="4" customFormat="1" ht="15.75" thickBot="1" x14ac:dyDescent="0.3">
      <c r="A53" s="4">
        <v>92134</v>
      </c>
      <c r="B53" s="6" t="s">
        <v>1312</v>
      </c>
      <c r="C53" s="6">
        <f t="shared" ca="1" si="23"/>
        <v>30</v>
      </c>
      <c r="D53" s="144">
        <f t="shared" ca="1" si="26"/>
        <v>1</v>
      </c>
      <c r="E53" s="84">
        <f t="shared" ca="1" si="27"/>
        <v>3</v>
      </c>
      <c r="F53" s="92">
        <f t="shared" ca="1" si="28"/>
        <v>1673000</v>
      </c>
      <c r="G53" s="12">
        <f t="shared" ca="1" si="29"/>
        <v>0</v>
      </c>
      <c r="H53" s="91">
        <f t="shared" ca="1" si="30"/>
        <v>0</v>
      </c>
      <c r="I53" s="12">
        <f t="shared" ca="1" si="31"/>
        <v>2</v>
      </c>
      <c r="J53" s="91">
        <f t="shared" ca="1" si="32"/>
        <v>1246000</v>
      </c>
      <c r="K53" s="12">
        <f t="shared" ca="1" si="33"/>
        <v>1</v>
      </c>
      <c r="L53" s="91">
        <f t="shared" ca="1" si="34"/>
        <v>427000</v>
      </c>
      <c r="N53" s="12">
        <f t="shared" ca="1" si="35"/>
        <v>0</v>
      </c>
      <c r="O53" s="91">
        <f t="shared" ca="1" si="36"/>
        <v>0</v>
      </c>
      <c r="P53" s="12">
        <f t="shared" ca="1" si="37"/>
        <v>0</v>
      </c>
      <c r="Q53" s="91">
        <f t="shared" ca="1" si="38"/>
        <v>0</v>
      </c>
      <c r="R53" s="12">
        <f t="shared" ca="1" si="39"/>
        <v>3</v>
      </c>
      <c r="S53" s="91">
        <f t="shared" ca="1" si="40"/>
        <v>1673000</v>
      </c>
      <c r="T53" s="12">
        <f t="shared" ca="1" si="41"/>
        <v>0</v>
      </c>
      <c r="U53" s="91">
        <f t="shared" ca="1" si="42"/>
        <v>0</v>
      </c>
      <c r="V53" s="12">
        <f t="shared" ca="1" si="43"/>
        <v>0</v>
      </c>
      <c r="W53" s="91">
        <f t="shared" ca="1" si="44"/>
        <v>0</v>
      </c>
      <c r="X53" s="12">
        <f t="shared" ca="1" si="24"/>
        <v>0</v>
      </c>
      <c r="Y53" s="91">
        <f t="shared" ca="1" si="25"/>
        <v>0</v>
      </c>
    </row>
    <row r="54" spans="1:25" s="4" customFormat="1" ht="15.75" hidden="1" thickBot="1" x14ac:dyDescent="0.3">
      <c r="A54" s="4">
        <v>92135</v>
      </c>
      <c r="B54" s="6"/>
      <c r="C54" s="6">
        <f t="shared" ref="C54:C85" ca="1" si="45">_xlfn.RANK.EQ(F54,$F$18:$F$118,0)</f>
        <v>32</v>
      </c>
      <c r="D54" s="144">
        <f t="shared" ca="1" si="26"/>
        <v>0</v>
      </c>
      <c r="E54" s="84">
        <f t="shared" ca="1" si="27"/>
        <v>0</v>
      </c>
      <c r="F54" s="92">
        <f t="shared" ca="1" si="28"/>
        <v>0</v>
      </c>
      <c r="G54" s="12">
        <f t="shared" ca="1" si="29"/>
        <v>0</v>
      </c>
      <c r="H54" s="91">
        <f t="shared" ca="1" si="30"/>
        <v>0</v>
      </c>
      <c r="I54" s="12">
        <f t="shared" ca="1" si="31"/>
        <v>0</v>
      </c>
      <c r="J54" s="91">
        <f t="shared" ca="1" si="32"/>
        <v>0</v>
      </c>
      <c r="K54" s="12">
        <f t="shared" ca="1" si="33"/>
        <v>0</v>
      </c>
      <c r="L54" s="91">
        <f t="shared" ca="1" si="34"/>
        <v>0</v>
      </c>
      <c r="N54" s="12">
        <f t="shared" ca="1" si="35"/>
        <v>0</v>
      </c>
      <c r="O54" s="91">
        <f t="shared" ca="1" si="36"/>
        <v>0</v>
      </c>
      <c r="P54" s="12">
        <f t="shared" ca="1" si="37"/>
        <v>0</v>
      </c>
      <c r="Q54" s="91">
        <f t="shared" ca="1" si="38"/>
        <v>0</v>
      </c>
      <c r="R54" s="12">
        <f t="shared" ca="1" si="39"/>
        <v>0</v>
      </c>
      <c r="S54" s="91">
        <f t="shared" ca="1" si="40"/>
        <v>0</v>
      </c>
      <c r="T54" s="12">
        <f t="shared" ca="1" si="41"/>
        <v>0</v>
      </c>
      <c r="U54" s="91">
        <f t="shared" ca="1" si="42"/>
        <v>0</v>
      </c>
      <c r="V54" s="12">
        <f t="shared" ca="1" si="43"/>
        <v>0</v>
      </c>
      <c r="W54" s="91">
        <f t="shared" ca="1" si="44"/>
        <v>0</v>
      </c>
      <c r="X54" s="12">
        <f t="shared" ca="1" si="24"/>
        <v>0</v>
      </c>
      <c r="Y54" s="91">
        <f t="shared" ca="1" si="25"/>
        <v>0</v>
      </c>
    </row>
    <row r="55" spans="1:25" s="4" customFormat="1" ht="15.75" thickBot="1" x14ac:dyDescent="0.3">
      <c r="A55" s="4">
        <v>92136</v>
      </c>
      <c r="B55" s="6" t="s">
        <v>1312</v>
      </c>
      <c r="C55" s="6">
        <f t="shared" ca="1" si="45"/>
        <v>26</v>
      </c>
      <c r="D55" s="144">
        <f t="shared" ca="1" si="26"/>
        <v>1</v>
      </c>
      <c r="E55" s="84">
        <f t="shared" ca="1" si="27"/>
        <v>5</v>
      </c>
      <c r="F55" s="92">
        <f t="shared" ca="1" si="28"/>
        <v>3666600</v>
      </c>
      <c r="G55" s="12">
        <f t="shared" ca="1" si="29"/>
        <v>1</v>
      </c>
      <c r="H55" s="91">
        <f t="shared" ca="1" si="30"/>
        <v>1680000</v>
      </c>
      <c r="I55" s="12">
        <f t="shared" ca="1" si="31"/>
        <v>2</v>
      </c>
      <c r="J55" s="91">
        <f t="shared" ca="1" si="32"/>
        <v>1484000</v>
      </c>
      <c r="K55" s="12">
        <f t="shared" ca="1" si="33"/>
        <v>2</v>
      </c>
      <c r="L55" s="91">
        <f t="shared" ca="1" si="34"/>
        <v>502600</v>
      </c>
      <c r="N55" s="12">
        <f t="shared" ca="1" si="35"/>
        <v>0</v>
      </c>
      <c r="O55" s="91">
        <f t="shared" ca="1" si="36"/>
        <v>0</v>
      </c>
      <c r="P55" s="12">
        <f t="shared" ca="1" si="37"/>
        <v>5</v>
      </c>
      <c r="Q55" s="91">
        <f t="shared" ca="1" si="38"/>
        <v>3666600</v>
      </c>
      <c r="R55" s="12">
        <f t="shared" ca="1" si="39"/>
        <v>0</v>
      </c>
      <c r="S55" s="91">
        <f t="shared" ca="1" si="40"/>
        <v>0</v>
      </c>
      <c r="T55" s="12">
        <f t="shared" ca="1" si="41"/>
        <v>0</v>
      </c>
      <c r="U55" s="91">
        <f t="shared" ca="1" si="42"/>
        <v>0</v>
      </c>
      <c r="V55" s="12">
        <f t="shared" ca="1" si="43"/>
        <v>0</v>
      </c>
      <c r="W55" s="91">
        <f t="shared" ca="1" si="44"/>
        <v>0</v>
      </c>
      <c r="X55" s="12">
        <f t="shared" ca="1" si="24"/>
        <v>0</v>
      </c>
      <c r="Y55" s="91">
        <f t="shared" ca="1" si="25"/>
        <v>0</v>
      </c>
    </row>
    <row r="56" spans="1:25" s="4" customFormat="1" ht="15.75" hidden="1" thickBot="1" x14ac:dyDescent="0.3">
      <c r="A56" s="4">
        <v>92137</v>
      </c>
      <c r="B56" s="6"/>
      <c r="C56" s="6">
        <f t="shared" ca="1" si="45"/>
        <v>32</v>
      </c>
      <c r="D56" s="144">
        <f t="shared" ca="1" si="26"/>
        <v>0</v>
      </c>
      <c r="E56" s="84">
        <f t="shared" ca="1" si="27"/>
        <v>0</v>
      </c>
      <c r="F56" s="92">
        <f t="shared" ca="1" si="28"/>
        <v>0</v>
      </c>
      <c r="G56" s="12">
        <f t="shared" ca="1" si="29"/>
        <v>0</v>
      </c>
      <c r="H56" s="91">
        <f t="shared" ca="1" si="30"/>
        <v>0</v>
      </c>
      <c r="I56" s="12">
        <f t="shared" ca="1" si="31"/>
        <v>0</v>
      </c>
      <c r="J56" s="91">
        <f t="shared" ca="1" si="32"/>
        <v>0</v>
      </c>
      <c r="K56" s="12">
        <f t="shared" ca="1" si="33"/>
        <v>0</v>
      </c>
      <c r="L56" s="91">
        <f t="shared" ca="1" si="34"/>
        <v>0</v>
      </c>
      <c r="N56" s="12">
        <f t="shared" ca="1" si="35"/>
        <v>0</v>
      </c>
      <c r="O56" s="91">
        <f t="shared" ca="1" si="36"/>
        <v>0</v>
      </c>
      <c r="P56" s="12">
        <f t="shared" ca="1" si="37"/>
        <v>0</v>
      </c>
      <c r="Q56" s="91">
        <f t="shared" ca="1" si="38"/>
        <v>0</v>
      </c>
      <c r="R56" s="12">
        <f t="shared" ca="1" si="39"/>
        <v>0</v>
      </c>
      <c r="S56" s="91">
        <f t="shared" ca="1" si="40"/>
        <v>0</v>
      </c>
      <c r="T56" s="12">
        <f t="shared" ca="1" si="41"/>
        <v>0</v>
      </c>
      <c r="U56" s="91">
        <f t="shared" ca="1" si="42"/>
        <v>0</v>
      </c>
      <c r="V56" s="12">
        <f t="shared" ca="1" si="43"/>
        <v>0</v>
      </c>
      <c r="W56" s="91">
        <f t="shared" ca="1" si="44"/>
        <v>0</v>
      </c>
      <c r="X56" s="12">
        <f t="shared" ca="1" si="24"/>
        <v>0</v>
      </c>
      <c r="Y56" s="91">
        <f t="shared" ca="1" si="25"/>
        <v>0</v>
      </c>
    </row>
    <row r="57" spans="1:25" s="4" customFormat="1" ht="15.75" hidden="1" thickBot="1" x14ac:dyDescent="0.3">
      <c r="A57" s="4">
        <v>92138</v>
      </c>
      <c r="B57" s="6"/>
      <c r="C57" s="6">
        <f t="shared" ca="1" si="45"/>
        <v>32</v>
      </c>
      <c r="D57" s="144">
        <f t="shared" ca="1" si="26"/>
        <v>0</v>
      </c>
      <c r="E57" s="84">
        <f t="shared" ca="1" si="27"/>
        <v>0</v>
      </c>
      <c r="F57" s="92">
        <f t="shared" ca="1" si="28"/>
        <v>0</v>
      </c>
      <c r="G57" s="12">
        <f t="shared" ca="1" si="29"/>
        <v>0</v>
      </c>
      <c r="H57" s="91">
        <f t="shared" ca="1" si="30"/>
        <v>0</v>
      </c>
      <c r="I57" s="12">
        <f t="shared" ca="1" si="31"/>
        <v>0</v>
      </c>
      <c r="J57" s="91">
        <f t="shared" ca="1" si="32"/>
        <v>0</v>
      </c>
      <c r="K57" s="12">
        <f t="shared" ca="1" si="33"/>
        <v>0</v>
      </c>
      <c r="L57" s="91">
        <f t="shared" ca="1" si="34"/>
        <v>0</v>
      </c>
      <c r="N57" s="12">
        <f t="shared" ca="1" si="35"/>
        <v>0</v>
      </c>
      <c r="O57" s="91">
        <f t="shared" ca="1" si="36"/>
        <v>0</v>
      </c>
      <c r="P57" s="12">
        <f t="shared" ca="1" si="37"/>
        <v>0</v>
      </c>
      <c r="Q57" s="91">
        <f t="shared" ca="1" si="38"/>
        <v>0</v>
      </c>
      <c r="R57" s="12">
        <f t="shared" ca="1" si="39"/>
        <v>0</v>
      </c>
      <c r="S57" s="91">
        <f t="shared" ca="1" si="40"/>
        <v>0</v>
      </c>
      <c r="T57" s="12">
        <f t="shared" ca="1" si="41"/>
        <v>0</v>
      </c>
      <c r="U57" s="91">
        <f t="shared" ca="1" si="42"/>
        <v>0</v>
      </c>
      <c r="V57" s="12">
        <f t="shared" ca="1" si="43"/>
        <v>0</v>
      </c>
      <c r="W57" s="91">
        <f t="shared" ca="1" si="44"/>
        <v>0</v>
      </c>
      <c r="X57" s="12">
        <f t="shared" ca="1" si="24"/>
        <v>0</v>
      </c>
      <c r="Y57" s="91">
        <f t="shared" ca="1" si="25"/>
        <v>0</v>
      </c>
    </row>
    <row r="58" spans="1:25" s="4" customFormat="1" ht="15.75" hidden="1" thickBot="1" x14ac:dyDescent="0.3">
      <c r="A58" s="4">
        <v>92139</v>
      </c>
      <c r="B58" s="6"/>
      <c r="C58" s="6">
        <f t="shared" ca="1" si="45"/>
        <v>32</v>
      </c>
      <c r="D58" s="144">
        <f t="shared" ca="1" si="26"/>
        <v>0</v>
      </c>
      <c r="E58" s="84">
        <f t="shared" ca="1" si="27"/>
        <v>0</v>
      </c>
      <c r="F58" s="92">
        <f t="shared" ca="1" si="28"/>
        <v>0</v>
      </c>
      <c r="G58" s="12">
        <f t="shared" ca="1" si="29"/>
        <v>0</v>
      </c>
      <c r="H58" s="91">
        <f t="shared" ca="1" si="30"/>
        <v>0</v>
      </c>
      <c r="I58" s="12">
        <f t="shared" ca="1" si="31"/>
        <v>0</v>
      </c>
      <c r="J58" s="91">
        <f t="shared" ca="1" si="32"/>
        <v>0</v>
      </c>
      <c r="K58" s="12">
        <f t="shared" ca="1" si="33"/>
        <v>0</v>
      </c>
      <c r="L58" s="91">
        <f t="shared" ca="1" si="34"/>
        <v>0</v>
      </c>
      <c r="N58" s="12">
        <f t="shared" ca="1" si="35"/>
        <v>0</v>
      </c>
      <c r="O58" s="91">
        <f t="shared" ca="1" si="36"/>
        <v>0</v>
      </c>
      <c r="P58" s="12">
        <f t="shared" ca="1" si="37"/>
        <v>0</v>
      </c>
      <c r="Q58" s="91">
        <f t="shared" ca="1" si="38"/>
        <v>0</v>
      </c>
      <c r="R58" s="12">
        <f t="shared" ca="1" si="39"/>
        <v>0</v>
      </c>
      <c r="S58" s="91">
        <f t="shared" ca="1" si="40"/>
        <v>0</v>
      </c>
      <c r="T58" s="12">
        <f t="shared" ca="1" si="41"/>
        <v>0</v>
      </c>
      <c r="U58" s="91">
        <f t="shared" ca="1" si="42"/>
        <v>0</v>
      </c>
      <c r="V58" s="12">
        <f t="shared" ca="1" si="43"/>
        <v>0</v>
      </c>
      <c r="W58" s="91">
        <f t="shared" ca="1" si="44"/>
        <v>0</v>
      </c>
      <c r="X58" s="12">
        <f t="shared" ca="1" si="24"/>
        <v>0</v>
      </c>
      <c r="Y58" s="91">
        <f t="shared" ca="1" si="25"/>
        <v>0</v>
      </c>
    </row>
    <row r="59" spans="1:25" s="4" customFormat="1" ht="15.75" hidden="1" thickBot="1" x14ac:dyDescent="0.3">
      <c r="A59" s="4">
        <v>92140</v>
      </c>
      <c r="B59" s="6" t="s">
        <v>1312</v>
      </c>
      <c r="C59" s="6">
        <f t="shared" ca="1" si="45"/>
        <v>32</v>
      </c>
      <c r="D59" s="144">
        <f t="shared" ca="1" si="26"/>
        <v>0</v>
      </c>
      <c r="E59" s="84">
        <f t="shared" ca="1" si="27"/>
        <v>0</v>
      </c>
      <c r="F59" s="92">
        <f t="shared" ca="1" si="28"/>
        <v>0</v>
      </c>
      <c r="G59" s="12">
        <f t="shared" ca="1" si="29"/>
        <v>0</v>
      </c>
      <c r="H59" s="91">
        <f t="shared" ca="1" si="30"/>
        <v>0</v>
      </c>
      <c r="I59" s="12">
        <f t="shared" ca="1" si="31"/>
        <v>0</v>
      </c>
      <c r="J59" s="91">
        <f t="shared" ca="1" si="32"/>
        <v>0</v>
      </c>
      <c r="K59" s="12">
        <f t="shared" ca="1" si="33"/>
        <v>0</v>
      </c>
      <c r="L59" s="91">
        <f t="shared" ca="1" si="34"/>
        <v>0</v>
      </c>
      <c r="N59" s="12">
        <f t="shared" ca="1" si="35"/>
        <v>0</v>
      </c>
      <c r="O59" s="91">
        <f t="shared" ca="1" si="36"/>
        <v>0</v>
      </c>
      <c r="P59" s="12">
        <f t="shared" ca="1" si="37"/>
        <v>0</v>
      </c>
      <c r="Q59" s="91">
        <f t="shared" ca="1" si="38"/>
        <v>0</v>
      </c>
      <c r="R59" s="12">
        <f t="shared" ca="1" si="39"/>
        <v>0</v>
      </c>
      <c r="S59" s="91">
        <f t="shared" ca="1" si="40"/>
        <v>0</v>
      </c>
      <c r="T59" s="12">
        <f t="shared" ca="1" si="41"/>
        <v>0</v>
      </c>
      <c r="U59" s="91">
        <f t="shared" ca="1" si="42"/>
        <v>0</v>
      </c>
      <c r="V59" s="12">
        <f t="shared" ca="1" si="43"/>
        <v>0</v>
      </c>
      <c r="W59" s="91">
        <f t="shared" ca="1" si="44"/>
        <v>0</v>
      </c>
      <c r="X59" s="12">
        <f t="shared" ca="1" si="24"/>
        <v>0</v>
      </c>
      <c r="Y59" s="91">
        <f t="shared" ca="1" si="25"/>
        <v>0</v>
      </c>
    </row>
    <row r="60" spans="1:25" s="4" customFormat="1" ht="15.75" hidden="1" thickBot="1" x14ac:dyDescent="0.3">
      <c r="A60" s="58">
        <v>92141</v>
      </c>
      <c r="B60" s="140"/>
      <c r="C60" s="6">
        <f t="shared" ca="1" si="45"/>
        <v>32</v>
      </c>
      <c r="D60" s="144">
        <f t="shared" ca="1" si="26"/>
        <v>0</v>
      </c>
      <c r="E60" s="84">
        <f t="shared" ca="1" si="27"/>
        <v>0</v>
      </c>
      <c r="F60" s="92">
        <f t="shared" ca="1" si="28"/>
        <v>0</v>
      </c>
      <c r="G60" s="12">
        <f t="shared" ca="1" si="29"/>
        <v>0</v>
      </c>
      <c r="H60" s="91">
        <f t="shared" ca="1" si="30"/>
        <v>0</v>
      </c>
      <c r="I60" s="12">
        <f t="shared" ca="1" si="31"/>
        <v>0</v>
      </c>
      <c r="J60" s="91">
        <f t="shared" ca="1" si="32"/>
        <v>0</v>
      </c>
      <c r="K60" s="12">
        <f t="shared" ca="1" si="33"/>
        <v>0</v>
      </c>
      <c r="L60" s="91">
        <f t="shared" ca="1" si="34"/>
        <v>0</v>
      </c>
      <c r="N60" s="12">
        <f t="shared" ca="1" si="35"/>
        <v>0</v>
      </c>
      <c r="O60" s="91">
        <f t="shared" ca="1" si="36"/>
        <v>0</v>
      </c>
      <c r="P60" s="12">
        <f t="shared" ca="1" si="37"/>
        <v>0</v>
      </c>
      <c r="Q60" s="91">
        <f t="shared" ca="1" si="38"/>
        <v>0</v>
      </c>
      <c r="R60" s="12">
        <f t="shared" ca="1" si="39"/>
        <v>0</v>
      </c>
      <c r="S60" s="91">
        <f t="shared" ca="1" si="40"/>
        <v>0</v>
      </c>
      <c r="T60" s="12">
        <f t="shared" ca="1" si="41"/>
        <v>0</v>
      </c>
      <c r="U60" s="91">
        <f t="shared" ca="1" si="42"/>
        <v>0</v>
      </c>
      <c r="V60" s="12">
        <f t="shared" ca="1" si="43"/>
        <v>0</v>
      </c>
      <c r="W60" s="91">
        <f t="shared" ca="1" si="44"/>
        <v>0</v>
      </c>
      <c r="X60" s="12">
        <f t="shared" ca="1" si="24"/>
        <v>0</v>
      </c>
      <c r="Y60" s="91">
        <f t="shared" ca="1" si="25"/>
        <v>0</v>
      </c>
    </row>
    <row r="61" spans="1:25" s="4" customFormat="1" ht="15.75" hidden="1" thickBot="1" x14ac:dyDescent="0.3">
      <c r="A61" s="4">
        <v>92142</v>
      </c>
      <c r="B61" s="6"/>
      <c r="C61" s="6">
        <f t="shared" ca="1" si="45"/>
        <v>32</v>
      </c>
      <c r="D61" s="144">
        <f t="shared" ca="1" si="26"/>
        <v>0</v>
      </c>
      <c r="E61" s="84">
        <f t="shared" ca="1" si="27"/>
        <v>0</v>
      </c>
      <c r="F61" s="92">
        <f t="shared" ca="1" si="28"/>
        <v>0</v>
      </c>
      <c r="G61" s="12">
        <f t="shared" ca="1" si="29"/>
        <v>0</v>
      </c>
      <c r="H61" s="91">
        <f t="shared" ca="1" si="30"/>
        <v>0</v>
      </c>
      <c r="I61" s="12">
        <f t="shared" ca="1" si="31"/>
        <v>0</v>
      </c>
      <c r="J61" s="91">
        <f t="shared" ca="1" si="32"/>
        <v>0</v>
      </c>
      <c r="K61" s="12">
        <f t="shared" ca="1" si="33"/>
        <v>0</v>
      </c>
      <c r="L61" s="91">
        <f t="shared" ca="1" si="34"/>
        <v>0</v>
      </c>
      <c r="N61" s="12">
        <f t="shared" ca="1" si="35"/>
        <v>0</v>
      </c>
      <c r="O61" s="91">
        <f t="shared" ca="1" si="36"/>
        <v>0</v>
      </c>
      <c r="P61" s="12">
        <f t="shared" ca="1" si="37"/>
        <v>0</v>
      </c>
      <c r="Q61" s="91">
        <f t="shared" ca="1" si="38"/>
        <v>0</v>
      </c>
      <c r="R61" s="12">
        <f t="shared" ca="1" si="39"/>
        <v>0</v>
      </c>
      <c r="S61" s="91">
        <f t="shared" ca="1" si="40"/>
        <v>0</v>
      </c>
      <c r="T61" s="12">
        <f t="shared" ca="1" si="41"/>
        <v>0</v>
      </c>
      <c r="U61" s="91">
        <f t="shared" ca="1" si="42"/>
        <v>0</v>
      </c>
      <c r="V61" s="12">
        <f t="shared" ca="1" si="43"/>
        <v>0</v>
      </c>
      <c r="W61" s="91">
        <f t="shared" ca="1" si="44"/>
        <v>0</v>
      </c>
      <c r="X61" s="12">
        <f t="shared" ca="1" si="24"/>
        <v>0</v>
      </c>
      <c r="Y61" s="91">
        <f t="shared" ca="1" si="25"/>
        <v>0</v>
      </c>
    </row>
    <row r="62" spans="1:25" s="4" customFormat="1" ht="15.75" hidden="1" thickBot="1" x14ac:dyDescent="0.3">
      <c r="A62" s="4">
        <v>92143</v>
      </c>
      <c r="B62" s="6"/>
      <c r="C62" s="6">
        <f t="shared" ca="1" si="45"/>
        <v>32</v>
      </c>
      <c r="D62" s="144">
        <f t="shared" ca="1" si="26"/>
        <v>0</v>
      </c>
      <c r="E62" s="84">
        <f t="shared" ca="1" si="27"/>
        <v>0</v>
      </c>
      <c r="F62" s="92">
        <f t="shared" ca="1" si="28"/>
        <v>0</v>
      </c>
      <c r="G62" s="12">
        <f t="shared" ca="1" si="29"/>
        <v>0</v>
      </c>
      <c r="H62" s="91">
        <f t="shared" ca="1" si="30"/>
        <v>0</v>
      </c>
      <c r="I62" s="12">
        <f t="shared" ca="1" si="31"/>
        <v>0</v>
      </c>
      <c r="J62" s="91">
        <f t="shared" ca="1" si="32"/>
        <v>0</v>
      </c>
      <c r="K62" s="12">
        <f t="shared" ca="1" si="33"/>
        <v>0</v>
      </c>
      <c r="L62" s="91">
        <f t="shared" ca="1" si="34"/>
        <v>0</v>
      </c>
      <c r="N62" s="12">
        <f t="shared" ca="1" si="35"/>
        <v>0</v>
      </c>
      <c r="O62" s="91">
        <f t="shared" ca="1" si="36"/>
        <v>0</v>
      </c>
      <c r="P62" s="12">
        <f t="shared" ca="1" si="37"/>
        <v>0</v>
      </c>
      <c r="Q62" s="91">
        <f t="shared" ca="1" si="38"/>
        <v>0</v>
      </c>
      <c r="R62" s="12">
        <f t="shared" ca="1" si="39"/>
        <v>0</v>
      </c>
      <c r="S62" s="91">
        <f t="shared" ca="1" si="40"/>
        <v>0</v>
      </c>
      <c r="T62" s="12">
        <f t="shared" ca="1" si="41"/>
        <v>0</v>
      </c>
      <c r="U62" s="91">
        <f t="shared" ca="1" si="42"/>
        <v>0</v>
      </c>
      <c r="V62" s="12">
        <f t="shared" ca="1" si="43"/>
        <v>0</v>
      </c>
      <c r="W62" s="91">
        <f t="shared" ca="1" si="44"/>
        <v>0</v>
      </c>
      <c r="X62" s="12">
        <f t="shared" ca="1" si="24"/>
        <v>0</v>
      </c>
      <c r="Y62" s="91">
        <f t="shared" ca="1" si="25"/>
        <v>0</v>
      </c>
    </row>
    <row r="63" spans="1:25" s="4" customFormat="1" ht="15.75" hidden="1" thickBot="1" x14ac:dyDescent="0.3">
      <c r="A63" s="58">
        <v>92144</v>
      </c>
      <c r="B63" s="140"/>
      <c r="C63" s="6">
        <f t="shared" ca="1" si="45"/>
        <v>32</v>
      </c>
      <c r="D63" s="144">
        <f t="shared" ca="1" si="26"/>
        <v>0</v>
      </c>
      <c r="E63" s="84">
        <f t="shared" ca="1" si="27"/>
        <v>0</v>
      </c>
      <c r="F63" s="92">
        <f t="shared" ca="1" si="28"/>
        <v>0</v>
      </c>
      <c r="G63" s="12">
        <f t="shared" ca="1" si="29"/>
        <v>0</v>
      </c>
      <c r="H63" s="91">
        <f t="shared" ca="1" si="30"/>
        <v>0</v>
      </c>
      <c r="I63" s="12">
        <f t="shared" ca="1" si="31"/>
        <v>0</v>
      </c>
      <c r="J63" s="91">
        <f t="shared" ca="1" si="32"/>
        <v>0</v>
      </c>
      <c r="K63" s="12">
        <f t="shared" ca="1" si="33"/>
        <v>0</v>
      </c>
      <c r="L63" s="91">
        <f t="shared" ca="1" si="34"/>
        <v>0</v>
      </c>
      <c r="N63" s="12">
        <f t="shared" ca="1" si="35"/>
        <v>0</v>
      </c>
      <c r="O63" s="91">
        <f t="shared" ca="1" si="36"/>
        <v>0</v>
      </c>
      <c r="P63" s="12">
        <f t="shared" ca="1" si="37"/>
        <v>0</v>
      </c>
      <c r="Q63" s="91">
        <f t="shared" ca="1" si="38"/>
        <v>0</v>
      </c>
      <c r="R63" s="12">
        <f t="shared" ca="1" si="39"/>
        <v>0</v>
      </c>
      <c r="S63" s="91">
        <f t="shared" ca="1" si="40"/>
        <v>0</v>
      </c>
      <c r="T63" s="12">
        <f t="shared" ca="1" si="41"/>
        <v>0</v>
      </c>
      <c r="U63" s="91">
        <f t="shared" ca="1" si="42"/>
        <v>0</v>
      </c>
      <c r="V63" s="12">
        <f t="shared" ca="1" si="43"/>
        <v>0</v>
      </c>
      <c r="W63" s="91">
        <f t="shared" ca="1" si="44"/>
        <v>0</v>
      </c>
      <c r="X63" s="12">
        <f t="shared" ca="1" si="24"/>
        <v>0</v>
      </c>
      <c r="Y63" s="91">
        <f t="shared" ca="1" si="25"/>
        <v>0</v>
      </c>
    </row>
    <row r="64" spans="1:25" s="4" customFormat="1" ht="15.75" thickBot="1" x14ac:dyDescent="0.3">
      <c r="A64" s="4">
        <v>92145</v>
      </c>
      <c r="B64" s="6" t="s">
        <v>1313</v>
      </c>
      <c r="C64" s="6">
        <f t="shared" ca="1" si="45"/>
        <v>3</v>
      </c>
      <c r="D64" s="144">
        <f t="shared" ca="1" si="26"/>
        <v>1</v>
      </c>
      <c r="E64" s="84">
        <f t="shared" ca="1" si="27"/>
        <v>114</v>
      </c>
      <c r="F64" s="92">
        <f t="shared" ca="1" si="28"/>
        <v>48236200</v>
      </c>
      <c r="G64" s="12">
        <f t="shared" ca="1" si="29"/>
        <v>9</v>
      </c>
      <c r="H64" s="91">
        <f t="shared" ca="1" si="30"/>
        <v>18088000</v>
      </c>
      <c r="I64" s="12">
        <f t="shared" ca="1" si="31"/>
        <v>21</v>
      </c>
      <c r="J64" s="91">
        <f t="shared" ca="1" si="32"/>
        <v>13052600</v>
      </c>
      <c r="K64" s="12">
        <f t="shared" ca="1" si="33"/>
        <v>84</v>
      </c>
      <c r="L64" s="91">
        <f t="shared" ca="1" si="34"/>
        <v>17095600</v>
      </c>
      <c r="N64" s="12">
        <f t="shared" ca="1" si="35"/>
        <v>29</v>
      </c>
      <c r="O64" s="91">
        <f t="shared" ca="1" si="36"/>
        <v>8053600</v>
      </c>
      <c r="P64" s="12">
        <f t="shared" ca="1" si="37"/>
        <v>82</v>
      </c>
      <c r="Q64" s="91">
        <f t="shared" ca="1" si="38"/>
        <v>39667600</v>
      </c>
      <c r="R64" s="12">
        <f t="shared" ca="1" si="39"/>
        <v>0</v>
      </c>
      <c r="S64" s="91">
        <f t="shared" ca="1" si="40"/>
        <v>0</v>
      </c>
      <c r="T64" s="12">
        <f t="shared" ca="1" si="41"/>
        <v>3</v>
      </c>
      <c r="U64" s="91">
        <f t="shared" ca="1" si="42"/>
        <v>515000</v>
      </c>
      <c r="V64" s="12">
        <f t="shared" ca="1" si="43"/>
        <v>0</v>
      </c>
      <c r="W64" s="91">
        <f t="shared" ca="1" si="44"/>
        <v>0</v>
      </c>
      <c r="X64" s="12">
        <f t="shared" ca="1" si="24"/>
        <v>0</v>
      </c>
      <c r="Y64" s="91">
        <f t="shared" ca="1" si="25"/>
        <v>0</v>
      </c>
    </row>
    <row r="65" spans="1:25" s="4" customFormat="1" ht="15.75" hidden="1" thickBot="1" x14ac:dyDescent="0.3">
      <c r="A65" s="58">
        <v>92146</v>
      </c>
      <c r="B65" s="140"/>
      <c r="C65" s="6">
        <f t="shared" ca="1" si="45"/>
        <v>32</v>
      </c>
      <c r="D65" s="144">
        <f t="shared" ca="1" si="26"/>
        <v>0</v>
      </c>
      <c r="E65" s="84">
        <f t="shared" ca="1" si="27"/>
        <v>0</v>
      </c>
      <c r="F65" s="92">
        <f t="shared" ca="1" si="28"/>
        <v>0</v>
      </c>
      <c r="G65" s="12">
        <f t="shared" ca="1" si="29"/>
        <v>0</v>
      </c>
      <c r="H65" s="91">
        <f t="shared" ca="1" si="30"/>
        <v>0</v>
      </c>
      <c r="I65" s="12">
        <f t="shared" ca="1" si="31"/>
        <v>0</v>
      </c>
      <c r="J65" s="91">
        <f t="shared" ca="1" si="32"/>
        <v>0</v>
      </c>
      <c r="K65" s="12">
        <f t="shared" ca="1" si="33"/>
        <v>0</v>
      </c>
      <c r="L65" s="91">
        <f t="shared" ca="1" si="34"/>
        <v>0</v>
      </c>
      <c r="N65" s="12">
        <f t="shared" ca="1" si="35"/>
        <v>0</v>
      </c>
      <c r="O65" s="91">
        <f t="shared" ca="1" si="36"/>
        <v>0</v>
      </c>
      <c r="P65" s="12">
        <f t="shared" ca="1" si="37"/>
        <v>0</v>
      </c>
      <c r="Q65" s="91">
        <f t="shared" ca="1" si="38"/>
        <v>0</v>
      </c>
      <c r="R65" s="12">
        <f t="shared" ca="1" si="39"/>
        <v>0</v>
      </c>
      <c r="S65" s="91">
        <f t="shared" ca="1" si="40"/>
        <v>0</v>
      </c>
      <c r="T65" s="12">
        <f t="shared" ca="1" si="41"/>
        <v>0</v>
      </c>
      <c r="U65" s="91">
        <f t="shared" ca="1" si="42"/>
        <v>0</v>
      </c>
      <c r="V65" s="12">
        <f t="shared" ca="1" si="43"/>
        <v>0</v>
      </c>
      <c r="W65" s="91">
        <f t="shared" ca="1" si="44"/>
        <v>0</v>
      </c>
      <c r="X65" s="12">
        <f t="shared" ca="1" si="24"/>
        <v>0</v>
      </c>
      <c r="Y65" s="91">
        <f t="shared" ca="1" si="25"/>
        <v>0</v>
      </c>
    </row>
    <row r="66" spans="1:25" s="4" customFormat="1" ht="15.75" hidden="1" thickBot="1" x14ac:dyDescent="0.3">
      <c r="A66" s="4">
        <v>92147</v>
      </c>
      <c r="B66" s="6"/>
      <c r="C66" s="6">
        <f t="shared" ca="1" si="45"/>
        <v>32</v>
      </c>
      <c r="D66" s="144">
        <f t="shared" ca="1" si="26"/>
        <v>0</v>
      </c>
      <c r="E66" s="84">
        <f t="shared" ca="1" si="27"/>
        <v>0</v>
      </c>
      <c r="F66" s="92">
        <f t="shared" ca="1" si="28"/>
        <v>0</v>
      </c>
      <c r="G66" s="12">
        <f t="shared" ca="1" si="29"/>
        <v>0</v>
      </c>
      <c r="H66" s="91">
        <f t="shared" ca="1" si="30"/>
        <v>0</v>
      </c>
      <c r="I66" s="12">
        <f t="shared" ca="1" si="31"/>
        <v>0</v>
      </c>
      <c r="J66" s="91">
        <f t="shared" ca="1" si="32"/>
        <v>0</v>
      </c>
      <c r="K66" s="12">
        <f t="shared" ca="1" si="33"/>
        <v>0</v>
      </c>
      <c r="L66" s="91">
        <f t="shared" ca="1" si="34"/>
        <v>0</v>
      </c>
      <c r="N66" s="12">
        <f t="shared" ca="1" si="35"/>
        <v>0</v>
      </c>
      <c r="O66" s="91">
        <f t="shared" ca="1" si="36"/>
        <v>0</v>
      </c>
      <c r="P66" s="12">
        <f t="shared" ca="1" si="37"/>
        <v>0</v>
      </c>
      <c r="Q66" s="91">
        <f t="shared" ca="1" si="38"/>
        <v>0</v>
      </c>
      <c r="R66" s="12">
        <f t="shared" ca="1" si="39"/>
        <v>0</v>
      </c>
      <c r="S66" s="91">
        <f t="shared" ca="1" si="40"/>
        <v>0</v>
      </c>
      <c r="T66" s="12">
        <f t="shared" ca="1" si="41"/>
        <v>0</v>
      </c>
      <c r="U66" s="91">
        <f t="shared" ca="1" si="42"/>
        <v>0</v>
      </c>
      <c r="V66" s="12">
        <f t="shared" ca="1" si="43"/>
        <v>0</v>
      </c>
      <c r="W66" s="91">
        <f t="shared" ca="1" si="44"/>
        <v>0</v>
      </c>
      <c r="X66" s="12">
        <f t="shared" ca="1" si="24"/>
        <v>0</v>
      </c>
      <c r="Y66" s="91">
        <f t="shared" ca="1" si="25"/>
        <v>0</v>
      </c>
    </row>
    <row r="67" spans="1:25" s="4" customFormat="1" ht="15.75" hidden="1" thickBot="1" x14ac:dyDescent="0.3">
      <c r="A67" s="4">
        <v>92148</v>
      </c>
      <c r="B67" s="6"/>
      <c r="C67" s="6">
        <f t="shared" ca="1" si="45"/>
        <v>32</v>
      </c>
      <c r="D67" s="144">
        <f t="shared" ca="1" si="26"/>
        <v>0</v>
      </c>
      <c r="E67" s="84">
        <f t="shared" ca="1" si="27"/>
        <v>0</v>
      </c>
      <c r="F67" s="92">
        <f t="shared" ca="1" si="28"/>
        <v>0</v>
      </c>
      <c r="G67" s="12">
        <f t="shared" ca="1" si="29"/>
        <v>0</v>
      </c>
      <c r="H67" s="91">
        <f t="shared" ca="1" si="30"/>
        <v>0</v>
      </c>
      <c r="I67" s="12">
        <f t="shared" ca="1" si="31"/>
        <v>0</v>
      </c>
      <c r="J67" s="91">
        <f t="shared" ca="1" si="32"/>
        <v>0</v>
      </c>
      <c r="K67" s="12">
        <f t="shared" ca="1" si="33"/>
        <v>0</v>
      </c>
      <c r="L67" s="91">
        <f t="shared" ca="1" si="34"/>
        <v>0</v>
      </c>
      <c r="N67" s="12">
        <f t="shared" ca="1" si="35"/>
        <v>0</v>
      </c>
      <c r="O67" s="91">
        <f t="shared" ca="1" si="36"/>
        <v>0</v>
      </c>
      <c r="P67" s="12">
        <f t="shared" ca="1" si="37"/>
        <v>0</v>
      </c>
      <c r="Q67" s="91">
        <f t="shared" ca="1" si="38"/>
        <v>0</v>
      </c>
      <c r="R67" s="12">
        <f t="shared" ca="1" si="39"/>
        <v>0</v>
      </c>
      <c r="S67" s="91">
        <f t="shared" ca="1" si="40"/>
        <v>0</v>
      </c>
      <c r="T67" s="12">
        <f t="shared" ca="1" si="41"/>
        <v>0</v>
      </c>
      <c r="U67" s="91">
        <f t="shared" ca="1" si="42"/>
        <v>0</v>
      </c>
      <c r="V67" s="12">
        <f t="shared" ca="1" si="43"/>
        <v>0</v>
      </c>
      <c r="W67" s="91">
        <f t="shared" ca="1" si="44"/>
        <v>0</v>
      </c>
      <c r="X67" s="12">
        <f t="shared" ca="1" si="24"/>
        <v>0</v>
      </c>
      <c r="Y67" s="91">
        <f t="shared" ca="1" si="25"/>
        <v>0</v>
      </c>
    </row>
    <row r="68" spans="1:25" s="4" customFormat="1" ht="15.75" hidden="1" thickBot="1" x14ac:dyDescent="0.3">
      <c r="A68" s="4">
        <v>92149</v>
      </c>
      <c r="B68" s="6"/>
      <c r="C68" s="6">
        <f t="shared" ca="1" si="45"/>
        <v>32</v>
      </c>
      <c r="D68" s="144">
        <f t="shared" ca="1" si="26"/>
        <v>0</v>
      </c>
      <c r="E68" s="84">
        <f t="shared" ca="1" si="27"/>
        <v>0</v>
      </c>
      <c r="F68" s="92">
        <f t="shared" ca="1" si="28"/>
        <v>0</v>
      </c>
      <c r="G68" s="12">
        <f t="shared" ca="1" si="29"/>
        <v>0</v>
      </c>
      <c r="H68" s="91">
        <f t="shared" ca="1" si="30"/>
        <v>0</v>
      </c>
      <c r="I68" s="12">
        <f t="shared" ca="1" si="31"/>
        <v>0</v>
      </c>
      <c r="J68" s="91">
        <f t="shared" ca="1" si="32"/>
        <v>0</v>
      </c>
      <c r="K68" s="12">
        <f t="shared" ca="1" si="33"/>
        <v>0</v>
      </c>
      <c r="L68" s="91">
        <f t="shared" ca="1" si="34"/>
        <v>0</v>
      </c>
      <c r="N68" s="12">
        <f t="shared" ca="1" si="35"/>
        <v>0</v>
      </c>
      <c r="O68" s="91">
        <f t="shared" ca="1" si="36"/>
        <v>0</v>
      </c>
      <c r="P68" s="12">
        <f t="shared" ca="1" si="37"/>
        <v>0</v>
      </c>
      <c r="Q68" s="91">
        <f t="shared" ca="1" si="38"/>
        <v>0</v>
      </c>
      <c r="R68" s="12">
        <f t="shared" ca="1" si="39"/>
        <v>0</v>
      </c>
      <c r="S68" s="91">
        <f t="shared" ca="1" si="40"/>
        <v>0</v>
      </c>
      <c r="T68" s="12">
        <f t="shared" ca="1" si="41"/>
        <v>0</v>
      </c>
      <c r="U68" s="91">
        <f t="shared" ca="1" si="42"/>
        <v>0</v>
      </c>
      <c r="V68" s="12">
        <f t="shared" ca="1" si="43"/>
        <v>0</v>
      </c>
      <c r="W68" s="91">
        <f t="shared" ca="1" si="44"/>
        <v>0</v>
      </c>
      <c r="X68" s="12">
        <f t="shared" ca="1" si="24"/>
        <v>0</v>
      </c>
      <c r="Y68" s="91">
        <f t="shared" ca="1" si="25"/>
        <v>0</v>
      </c>
    </row>
    <row r="69" spans="1:25" s="4" customFormat="1" ht="15.75" hidden="1" thickBot="1" x14ac:dyDescent="0.3">
      <c r="A69" s="4">
        <v>92150</v>
      </c>
      <c r="B69" s="6"/>
      <c r="C69" s="6">
        <f t="shared" ca="1" si="45"/>
        <v>32</v>
      </c>
      <c r="D69" s="144">
        <f t="shared" ca="1" si="26"/>
        <v>0</v>
      </c>
      <c r="E69" s="84">
        <f t="shared" ca="1" si="27"/>
        <v>0</v>
      </c>
      <c r="F69" s="92">
        <f t="shared" ca="1" si="28"/>
        <v>0</v>
      </c>
      <c r="G69" s="12">
        <f t="shared" ca="1" si="29"/>
        <v>0</v>
      </c>
      <c r="H69" s="91">
        <f t="shared" ca="1" si="30"/>
        <v>0</v>
      </c>
      <c r="I69" s="12">
        <f t="shared" ca="1" si="31"/>
        <v>0</v>
      </c>
      <c r="J69" s="91">
        <f t="shared" ca="1" si="32"/>
        <v>0</v>
      </c>
      <c r="K69" s="12">
        <f t="shared" ca="1" si="33"/>
        <v>0</v>
      </c>
      <c r="L69" s="91">
        <f t="shared" ca="1" si="34"/>
        <v>0</v>
      </c>
      <c r="N69" s="12">
        <f t="shared" ca="1" si="35"/>
        <v>0</v>
      </c>
      <c r="O69" s="91">
        <f t="shared" ca="1" si="36"/>
        <v>0</v>
      </c>
      <c r="P69" s="12">
        <f t="shared" ca="1" si="37"/>
        <v>0</v>
      </c>
      <c r="Q69" s="91">
        <f t="shared" ca="1" si="38"/>
        <v>0</v>
      </c>
      <c r="R69" s="12">
        <f t="shared" ca="1" si="39"/>
        <v>0</v>
      </c>
      <c r="S69" s="91">
        <f t="shared" ca="1" si="40"/>
        <v>0</v>
      </c>
      <c r="T69" s="12">
        <f t="shared" ca="1" si="41"/>
        <v>0</v>
      </c>
      <c r="U69" s="91">
        <f t="shared" ca="1" si="42"/>
        <v>0</v>
      </c>
      <c r="V69" s="12">
        <f t="shared" ca="1" si="43"/>
        <v>0</v>
      </c>
      <c r="W69" s="91">
        <f t="shared" ca="1" si="44"/>
        <v>0</v>
      </c>
      <c r="X69" s="12">
        <f t="shared" ca="1" si="24"/>
        <v>0</v>
      </c>
      <c r="Y69" s="91">
        <f t="shared" ca="1" si="25"/>
        <v>0</v>
      </c>
    </row>
    <row r="70" spans="1:25" s="4" customFormat="1" ht="15.75" hidden="1" thickBot="1" x14ac:dyDescent="0.3">
      <c r="A70" s="4">
        <v>92151</v>
      </c>
      <c r="B70" s="6"/>
      <c r="C70" s="6">
        <f t="shared" ca="1" si="45"/>
        <v>32</v>
      </c>
      <c r="D70" s="144">
        <f t="shared" ca="1" si="26"/>
        <v>0</v>
      </c>
      <c r="E70" s="84">
        <f t="shared" ca="1" si="27"/>
        <v>0</v>
      </c>
      <c r="F70" s="92">
        <f t="shared" ca="1" si="28"/>
        <v>0</v>
      </c>
      <c r="G70" s="12">
        <f t="shared" ca="1" si="29"/>
        <v>0</v>
      </c>
      <c r="H70" s="91">
        <f t="shared" ca="1" si="30"/>
        <v>0</v>
      </c>
      <c r="I70" s="12">
        <f t="shared" ca="1" si="31"/>
        <v>0</v>
      </c>
      <c r="J70" s="91">
        <f t="shared" ca="1" si="32"/>
        <v>0</v>
      </c>
      <c r="K70" s="12">
        <f t="shared" ca="1" si="33"/>
        <v>0</v>
      </c>
      <c r="L70" s="91">
        <f t="shared" ca="1" si="34"/>
        <v>0</v>
      </c>
      <c r="N70" s="12">
        <f t="shared" ca="1" si="35"/>
        <v>0</v>
      </c>
      <c r="O70" s="91">
        <f t="shared" ca="1" si="36"/>
        <v>0</v>
      </c>
      <c r="P70" s="12">
        <f t="shared" ca="1" si="37"/>
        <v>0</v>
      </c>
      <c r="Q70" s="91">
        <f t="shared" ca="1" si="38"/>
        <v>0</v>
      </c>
      <c r="R70" s="12">
        <f t="shared" ca="1" si="39"/>
        <v>0</v>
      </c>
      <c r="S70" s="91">
        <f t="shared" ca="1" si="40"/>
        <v>0</v>
      </c>
      <c r="T70" s="12">
        <f t="shared" ca="1" si="41"/>
        <v>0</v>
      </c>
      <c r="U70" s="91">
        <f t="shared" ca="1" si="42"/>
        <v>0</v>
      </c>
      <c r="V70" s="12">
        <f t="shared" ca="1" si="43"/>
        <v>0</v>
      </c>
      <c r="W70" s="91">
        <f t="shared" ca="1" si="44"/>
        <v>0</v>
      </c>
      <c r="X70" s="12">
        <f t="shared" ca="1" si="24"/>
        <v>0</v>
      </c>
      <c r="Y70" s="91">
        <f t="shared" ca="1" si="25"/>
        <v>0</v>
      </c>
    </row>
    <row r="71" spans="1:25" s="4" customFormat="1" ht="15.75" hidden="1" thickBot="1" x14ac:dyDescent="0.3">
      <c r="A71" s="4">
        <v>92152</v>
      </c>
      <c r="B71" s="6"/>
      <c r="C71" s="6">
        <f t="shared" ca="1" si="45"/>
        <v>32</v>
      </c>
      <c r="D71" s="144">
        <f t="shared" ca="1" si="26"/>
        <v>0</v>
      </c>
      <c r="E71" s="84">
        <f t="shared" ca="1" si="27"/>
        <v>0</v>
      </c>
      <c r="F71" s="92">
        <f t="shared" ca="1" si="28"/>
        <v>0</v>
      </c>
      <c r="G71" s="12">
        <f t="shared" ca="1" si="29"/>
        <v>0</v>
      </c>
      <c r="H71" s="91">
        <f t="shared" ca="1" si="30"/>
        <v>0</v>
      </c>
      <c r="I71" s="12">
        <f t="shared" ca="1" si="31"/>
        <v>0</v>
      </c>
      <c r="J71" s="91">
        <f t="shared" ca="1" si="32"/>
        <v>0</v>
      </c>
      <c r="K71" s="12">
        <f t="shared" ca="1" si="33"/>
        <v>0</v>
      </c>
      <c r="L71" s="91">
        <f t="shared" ca="1" si="34"/>
        <v>0</v>
      </c>
      <c r="N71" s="12">
        <f t="shared" ca="1" si="35"/>
        <v>0</v>
      </c>
      <c r="O71" s="91">
        <f t="shared" ca="1" si="36"/>
        <v>0</v>
      </c>
      <c r="P71" s="12">
        <f t="shared" ca="1" si="37"/>
        <v>0</v>
      </c>
      <c r="Q71" s="91">
        <f t="shared" ca="1" si="38"/>
        <v>0</v>
      </c>
      <c r="R71" s="12">
        <f t="shared" ca="1" si="39"/>
        <v>0</v>
      </c>
      <c r="S71" s="91">
        <f t="shared" ca="1" si="40"/>
        <v>0</v>
      </c>
      <c r="T71" s="12">
        <f t="shared" ca="1" si="41"/>
        <v>0</v>
      </c>
      <c r="U71" s="91">
        <f t="shared" ca="1" si="42"/>
        <v>0</v>
      </c>
      <c r="V71" s="12">
        <f t="shared" ca="1" si="43"/>
        <v>0</v>
      </c>
      <c r="W71" s="91">
        <f t="shared" ca="1" si="44"/>
        <v>0</v>
      </c>
      <c r="X71" s="12">
        <f t="shared" ca="1" si="24"/>
        <v>0</v>
      </c>
      <c r="Y71" s="91">
        <f t="shared" ca="1" si="25"/>
        <v>0</v>
      </c>
    </row>
    <row r="72" spans="1:25" s="4" customFormat="1" ht="15.75" hidden="1" thickBot="1" x14ac:dyDescent="0.3">
      <c r="A72" s="4">
        <v>92153</v>
      </c>
      <c r="B72" s="6"/>
      <c r="C72" s="6">
        <f t="shared" ca="1" si="45"/>
        <v>32</v>
      </c>
      <c r="D72" s="144">
        <f t="shared" ca="1" si="26"/>
        <v>0</v>
      </c>
      <c r="E72" s="84">
        <f t="shared" ca="1" si="27"/>
        <v>0</v>
      </c>
      <c r="F72" s="92">
        <f t="shared" ca="1" si="28"/>
        <v>0</v>
      </c>
      <c r="G72" s="12">
        <f t="shared" ca="1" si="29"/>
        <v>0</v>
      </c>
      <c r="H72" s="91">
        <f t="shared" ca="1" si="30"/>
        <v>0</v>
      </c>
      <c r="I72" s="12">
        <f t="shared" ca="1" si="31"/>
        <v>0</v>
      </c>
      <c r="J72" s="91">
        <f t="shared" ca="1" si="32"/>
        <v>0</v>
      </c>
      <c r="K72" s="12">
        <f t="shared" ca="1" si="33"/>
        <v>0</v>
      </c>
      <c r="L72" s="91">
        <f t="shared" ca="1" si="34"/>
        <v>0</v>
      </c>
      <c r="N72" s="12">
        <f t="shared" ca="1" si="35"/>
        <v>0</v>
      </c>
      <c r="O72" s="91">
        <f t="shared" ca="1" si="36"/>
        <v>0</v>
      </c>
      <c r="P72" s="12">
        <f t="shared" ca="1" si="37"/>
        <v>0</v>
      </c>
      <c r="Q72" s="91">
        <f t="shared" ca="1" si="38"/>
        <v>0</v>
      </c>
      <c r="R72" s="12">
        <f t="shared" ca="1" si="39"/>
        <v>0</v>
      </c>
      <c r="S72" s="91">
        <f t="shared" ca="1" si="40"/>
        <v>0</v>
      </c>
      <c r="T72" s="12">
        <f t="shared" ca="1" si="41"/>
        <v>0</v>
      </c>
      <c r="U72" s="91">
        <f t="shared" ca="1" si="42"/>
        <v>0</v>
      </c>
      <c r="V72" s="12">
        <f t="shared" ca="1" si="43"/>
        <v>0</v>
      </c>
      <c r="W72" s="91">
        <f t="shared" ca="1" si="44"/>
        <v>0</v>
      </c>
      <c r="X72" s="12">
        <f t="shared" ca="1" si="24"/>
        <v>0</v>
      </c>
      <c r="Y72" s="91">
        <f t="shared" ca="1" si="25"/>
        <v>0</v>
      </c>
    </row>
    <row r="73" spans="1:25" s="4" customFormat="1" ht="15.75" thickBot="1" x14ac:dyDescent="0.3">
      <c r="A73" s="4">
        <v>92154</v>
      </c>
      <c r="B73" s="6" t="s">
        <v>1312</v>
      </c>
      <c r="C73" s="6">
        <f t="shared" ca="1" si="45"/>
        <v>1</v>
      </c>
      <c r="D73" s="144">
        <f t="shared" ca="1" si="26"/>
        <v>28</v>
      </c>
      <c r="E73" s="84">
        <f t="shared" ca="1" si="27"/>
        <v>90</v>
      </c>
      <c r="F73" s="92">
        <f t="shared" ca="1" si="28"/>
        <v>71757700</v>
      </c>
      <c r="G73" s="12">
        <f t="shared" ca="1" si="29"/>
        <v>25</v>
      </c>
      <c r="H73" s="91">
        <f t="shared" ca="1" si="30"/>
        <v>42790800</v>
      </c>
      <c r="I73" s="12">
        <f t="shared" ca="1" si="31"/>
        <v>30</v>
      </c>
      <c r="J73" s="91">
        <f t="shared" ca="1" si="32"/>
        <v>20796600</v>
      </c>
      <c r="K73" s="12">
        <f t="shared" ca="1" si="33"/>
        <v>35</v>
      </c>
      <c r="L73" s="91">
        <f t="shared" ca="1" si="34"/>
        <v>8170300</v>
      </c>
      <c r="N73" s="12">
        <f t="shared" ca="1" si="35"/>
        <v>56</v>
      </c>
      <c r="O73" s="91">
        <f t="shared" ca="1" si="36"/>
        <v>38564700</v>
      </c>
      <c r="P73" s="12">
        <f t="shared" ca="1" si="37"/>
        <v>34</v>
      </c>
      <c r="Q73" s="91">
        <f t="shared" ca="1" si="38"/>
        <v>33193000</v>
      </c>
      <c r="R73" s="12">
        <f t="shared" ca="1" si="39"/>
        <v>0</v>
      </c>
      <c r="S73" s="91">
        <f t="shared" ca="1" si="40"/>
        <v>0</v>
      </c>
      <c r="T73" s="12">
        <f t="shared" ca="1" si="41"/>
        <v>0</v>
      </c>
      <c r="U73" s="91">
        <f t="shared" ca="1" si="42"/>
        <v>0</v>
      </c>
      <c r="V73" s="12">
        <f t="shared" ca="1" si="43"/>
        <v>0</v>
      </c>
      <c r="W73" s="91">
        <f t="shared" ca="1" si="44"/>
        <v>0</v>
      </c>
      <c r="X73" s="12">
        <f t="shared" ca="1" si="24"/>
        <v>0</v>
      </c>
      <c r="Y73" s="91">
        <f t="shared" ca="1" si="25"/>
        <v>0</v>
      </c>
    </row>
    <row r="74" spans="1:25" s="4" customFormat="1" ht="15.75" hidden="1" thickBot="1" x14ac:dyDescent="0.3">
      <c r="A74" s="4">
        <v>92155</v>
      </c>
      <c r="B74" s="6"/>
      <c r="C74" s="6">
        <f t="shared" ca="1" si="45"/>
        <v>32</v>
      </c>
      <c r="D74" s="144">
        <f t="shared" ca="1" si="26"/>
        <v>0</v>
      </c>
      <c r="E74" s="84">
        <f t="shared" ca="1" si="27"/>
        <v>0</v>
      </c>
      <c r="F74" s="92">
        <f t="shared" ca="1" si="28"/>
        <v>0</v>
      </c>
      <c r="G74" s="12">
        <f t="shared" ca="1" si="29"/>
        <v>0</v>
      </c>
      <c r="H74" s="91">
        <f t="shared" ca="1" si="30"/>
        <v>0</v>
      </c>
      <c r="I74" s="12">
        <f t="shared" ca="1" si="31"/>
        <v>0</v>
      </c>
      <c r="J74" s="91">
        <f t="shared" ca="1" si="32"/>
        <v>0</v>
      </c>
      <c r="K74" s="12">
        <f t="shared" ca="1" si="33"/>
        <v>0</v>
      </c>
      <c r="L74" s="91">
        <f t="shared" ca="1" si="34"/>
        <v>0</v>
      </c>
      <c r="N74" s="12">
        <f t="shared" ca="1" si="35"/>
        <v>0</v>
      </c>
      <c r="O74" s="91">
        <f t="shared" ca="1" si="36"/>
        <v>0</v>
      </c>
      <c r="P74" s="12">
        <f t="shared" ca="1" si="37"/>
        <v>0</v>
      </c>
      <c r="Q74" s="91">
        <f t="shared" ca="1" si="38"/>
        <v>0</v>
      </c>
      <c r="R74" s="12">
        <f t="shared" ca="1" si="39"/>
        <v>0</v>
      </c>
      <c r="S74" s="91">
        <f t="shared" ca="1" si="40"/>
        <v>0</v>
      </c>
      <c r="T74" s="12">
        <f t="shared" ca="1" si="41"/>
        <v>0</v>
      </c>
      <c r="U74" s="91">
        <f t="shared" ca="1" si="42"/>
        <v>0</v>
      </c>
      <c r="V74" s="12">
        <f t="shared" ca="1" si="43"/>
        <v>0</v>
      </c>
      <c r="W74" s="91">
        <f t="shared" ca="1" si="44"/>
        <v>0</v>
      </c>
      <c r="X74" s="12">
        <f t="shared" ca="1" si="24"/>
        <v>0</v>
      </c>
      <c r="Y74" s="91">
        <f t="shared" ca="1" si="25"/>
        <v>0</v>
      </c>
    </row>
    <row r="75" spans="1:25" s="4" customFormat="1" ht="15.75" hidden="1" thickBot="1" x14ac:dyDescent="0.3">
      <c r="A75" s="58">
        <v>92156</v>
      </c>
      <c r="B75" s="140"/>
      <c r="C75" s="6">
        <f t="shared" ca="1" si="45"/>
        <v>32</v>
      </c>
      <c r="D75" s="144">
        <f t="shared" ca="1" si="26"/>
        <v>0</v>
      </c>
      <c r="E75" s="84">
        <f t="shared" ca="1" si="27"/>
        <v>0</v>
      </c>
      <c r="F75" s="92">
        <f t="shared" ca="1" si="28"/>
        <v>0</v>
      </c>
      <c r="G75" s="12">
        <f t="shared" ca="1" si="29"/>
        <v>0</v>
      </c>
      <c r="H75" s="91">
        <f t="shared" ca="1" si="30"/>
        <v>0</v>
      </c>
      <c r="I75" s="12">
        <f t="shared" ca="1" si="31"/>
        <v>0</v>
      </c>
      <c r="J75" s="91">
        <f t="shared" ca="1" si="32"/>
        <v>0</v>
      </c>
      <c r="K75" s="12">
        <f t="shared" ca="1" si="33"/>
        <v>0</v>
      </c>
      <c r="L75" s="91">
        <f t="shared" ca="1" si="34"/>
        <v>0</v>
      </c>
      <c r="N75" s="12">
        <f t="shared" ca="1" si="35"/>
        <v>0</v>
      </c>
      <c r="O75" s="91">
        <f t="shared" ca="1" si="36"/>
        <v>0</v>
      </c>
      <c r="P75" s="12">
        <f t="shared" ca="1" si="37"/>
        <v>0</v>
      </c>
      <c r="Q75" s="91">
        <f t="shared" ca="1" si="38"/>
        <v>0</v>
      </c>
      <c r="R75" s="12">
        <f t="shared" ca="1" si="39"/>
        <v>0</v>
      </c>
      <c r="S75" s="91">
        <f t="shared" ca="1" si="40"/>
        <v>0</v>
      </c>
      <c r="T75" s="12">
        <f t="shared" ca="1" si="41"/>
        <v>0</v>
      </c>
      <c r="U75" s="91">
        <f t="shared" ca="1" si="42"/>
        <v>0</v>
      </c>
      <c r="V75" s="12">
        <f t="shared" ca="1" si="43"/>
        <v>0</v>
      </c>
      <c r="W75" s="91">
        <f t="shared" ca="1" si="44"/>
        <v>0</v>
      </c>
      <c r="X75" s="12">
        <f t="shared" ca="1" si="24"/>
        <v>0</v>
      </c>
      <c r="Y75" s="91">
        <f t="shared" ca="1" si="25"/>
        <v>0</v>
      </c>
    </row>
    <row r="76" spans="1:25" s="4" customFormat="1" ht="15.75" hidden="1" thickBot="1" x14ac:dyDescent="0.3">
      <c r="A76" s="58">
        <v>92157</v>
      </c>
      <c r="B76" s="140"/>
      <c r="C76" s="6">
        <f t="shared" ca="1" si="45"/>
        <v>32</v>
      </c>
      <c r="D76" s="144">
        <f t="shared" ca="1" si="26"/>
        <v>0</v>
      </c>
      <c r="E76" s="84">
        <f t="shared" ca="1" si="27"/>
        <v>0</v>
      </c>
      <c r="F76" s="92">
        <f t="shared" ca="1" si="28"/>
        <v>0</v>
      </c>
      <c r="G76" s="12">
        <f t="shared" ca="1" si="29"/>
        <v>0</v>
      </c>
      <c r="H76" s="91">
        <f t="shared" ca="1" si="30"/>
        <v>0</v>
      </c>
      <c r="I76" s="12">
        <f t="shared" ca="1" si="31"/>
        <v>0</v>
      </c>
      <c r="J76" s="91">
        <f t="shared" ca="1" si="32"/>
        <v>0</v>
      </c>
      <c r="K76" s="12">
        <f t="shared" ca="1" si="33"/>
        <v>0</v>
      </c>
      <c r="L76" s="91">
        <f t="shared" ca="1" si="34"/>
        <v>0</v>
      </c>
      <c r="N76" s="12">
        <f t="shared" ca="1" si="35"/>
        <v>0</v>
      </c>
      <c r="O76" s="91">
        <f t="shared" ca="1" si="36"/>
        <v>0</v>
      </c>
      <c r="P76" s="12">
        <f t="shared" ca="1" si="37"/>
        <v>0</v>
      </c>
      <c r="Q76" s="91">
        <f t="shared" ca="1" si="38"/>
        <v>0</v>
      </c>
      <c r="R76" s="12">
        <f t="shared" ca="1" si="39"/>
        <v>0</v>
      </c>
      <c r="S76" s="91">
        <f t="shared" ca="1" si="40"/>
        <v>0</v>
      </c>
      <c r="T76" s="12">
        <f t="shared" ca="1" si="41"/>
        <v>0</v>
      </c>
      <c r="U76" s="91">
        <f t="shared" ca="1" si="42"/>
        <v>0</v>
      </c>
      <c r="V76" s="12">
        <f t="shared" ca="1" si="43"/>
        <v>0</v>
      </c>
      <c r="W76" s="91">
        <f t="shared" ca="1" si="44"/>
        <v>0</v>
      </c>
      <c r="X76" s="12">
        <f t="shared" ca="1" si="24"/>
        <v>0</v>
      </c>
      <c r="Y76" s="91">
        <f t="shared" ca="1" si="25"/>
        <v>0</v>
      </c>
    </row>
    <row r="77" spans="1:25" s="4" customFormat="1" ht="15.75" hidden="1" thickBot="1" x14ac:dyDescent="0.3">
      <c r="A77" s="4">
        <v>92158</v>
      </c>
      <c r="B77" s="6"/>
      <c r="C77" s="6">
        <f t="shared" ca="1" si="45"/>
        <v>32</v>
      </c>
      <c r="D77" s="144">
        <f t="shared" ca="1" si="26"/>
        <v>0</v>
      </c>
      <c r="E77" s="84">
        <f t="shared" ca="1" si="27"/>
        <v>0</v>
      </c>
      <c r="F77" s="92">
        <f t="shared" ca="1" si="28"/>
        <v>0</v>
      </c>
      <c r="G77" s="12">
        <f t="shared" ca="1" si="29"/>
        <v>0</v>
      </c>
      <c r="H77" s="91">
        <f t="shared" ca="1" si="30"/>
        <v>0</v>
      </c>
      <c r="I77" s="12">
        <f t="shared" ca="1" si="31"/>
        <v>0</v>
      </c>
      <c r="J77" s="91">
        <f t="shared" ca="1" si="32"/>
        <v>0</v>
      </c>
      <c r="K77" s="12">
        <f t="shared" ca="1" si="33"/>
        <v>0</v>
      </c>
      <c r="L77" s="91">
        <f t="shared" ca="1" si="34"/>
        <v>0</v>
      </c>
      <c r="N77" s="12">
        <f t="shared" ca="1" si="35"/>
        <v>0</v>
      </c>
      <c r="O77" s="91">
        <f t="shared" ca="1" si="36"/>
        <v>0</v>
      </c>
      <c r="P77" s="12">
        <f t="shared" ca="1" si="37"/>
        <v>0</v>
      </c>
      <c r="Q77" s="91">
        <f t="shared" ca="1" si="38"/>
        <v>0</v>
      </c>
      <c r="R77" s="12">
        <f t="shared" ca="1" si="39"/>
        <v>0</v>
      </c>
      <c r="S77" s="91">
        <f t="shared" ca="1" si="40"/>
        <v>0</v>
      </c>
      <c r="T77" s="12">
        <f t="shared" ca="1" si="41"/>
        <v>0</v>
      </c>
      <c r="U77" s="91">
        <f t="shared" ca="1" si="42"/>
        <v>0</v>
      </c>
      <c r="V77" s="12">
        <f t="shared" ca="1" si="43"/>
        <v>0</v>
      </c>
      <c r="W77" s="91">
        <f t="shared" ca="1" si="44"/>
        <v>0</v>
      </c>
      <c r="X77" s="12">
        <f t="shared" ca="1" si="24"/>
        <v>0</v>
      </c>
      <c r="Y77" s="91">
        <f t="shared" ca="1" si="25"/>
        <v>0</v>
      </c>
    </row>
    <row r="78" spans="1:25" s="4" customFormat="1" ht="15.75" hidden="1" thickBot="1" x14ac:dyDescent="0.3">
      <c r="A78" s="4">
        <v>92159</v>
      </c>
      <c r="B78" s="6"/>
      <c r="C78" s="6">
        <f t="shared" ca="1" si="45"/>
        <v>32</v>
      </c>
      <c r="D78" s="144">
        <f t="shared" ca="1" si="26"/>
        <v>0</v>
      </c>
      <c r="E78" s="84">
        <f t="shared" ca="1" si="27"/>
        <v>0</v>
      </c>
      <c r="F78" s="92">
        <f t="shared" ca="1" si="28"/>
        <v>0</v>
      </c>
      <c r="G78" s="12">
        <f t="shared" ca="1" si="29"/>
        <v>0</v>
      </c>
      <c r="H78" s="91">
        <f t="shared" ca="1" si="30"/>
        <v>0</v>
      </c>
      <c r="I78" s="12">
        <f t="shared" ca="1" si="31"/>
        <v>0</v>
      </c>
      <c r="J78" s="91">
        <f t="shared" ca="1" si="32"/>
        <v>0</v>
      </c>
      <c r="K78" s="12">
        <f t="shared" ca="1" si="33"/>
        <v>0</v>
      </c>
      <c r="L78" s="91">
        <f t="shared" ca="1" si="34"/>
        <v>0</v>
      </c>
      <c r="N78" s="12">
        <f t="shared" ca="1" si="35"/>
        <v>0</v>
      </c>
      <c r="O78" s="91">
        <f t="shared" ca="1" si="36"/>
        <v>0</v>
      </c>
      <c r="P78" s="12">
        <f t="shared" ca="1" si="37"/>
        <v>0</v>
      </c>
      <c r="Q78" s="91">
        <f t="shared" ca="1" si="38"/>
        <v>0</v>
      </c>
      <c r="R78" s="12">
        <f t="shared" ca="1" si="39"/>
        <v>0</v>
      </c>
      <c r="S78" s="91">
        <f t="shared" ca="1" si="40"/>
        <v>0</v>
      </c>
      <c r="T78" s="12">
        <f t="shared" ca="1" si="41"/>
        <v>0</v>
      </c>
      <c r="U78" s="91">
        <f t="shared" ca="1" si="42"/>
        <v>0</v>
      </c>
      <c r="V78" s="12">
        <f t="shared" ca="1" si="43"/>
        <v>0</v>
      </c>
      <c r="W78" s="91">
        <f t="shared" ca="1" si="44"/>
        <v>0</v>
      </c>
      <c r="X78" s="12">
        <f t="shared" ca="1" si="24"/>
        <v>0</v>
      </c>
      <c r="Y78" s="91">
        <f t="shared" ca="1" si="25"/>
        <v>0</v>
      </c>
    </row>
    <row r="79" spans="1:25" s="4" customFormat="1" ht="15.75" hidden="1" thickBot="1" x14ac:dyDescent="0.3">
      <c r="A79" s="4">
        <v>92160</v>
      </c>
      <c r="B79" s="6"/>
      <c r="C79" s="6">
        <f t="shared" ca="1" si="45"/>
        <v>32</v>
      </c>
      <c r="D79" s="144">
        <f t="shared" ca="1" si="26"/>
        <v>0</v>
      </c>
      <c r="E79" s="84">
        <f t="shared" ca="1" si="27"/>
        <v>0</v>
      </c>
      <c r="F79" s="92">
        <f t="shared" ca="1" si="28"/>
        <v>0</v>
      </c>
      <c r="G79" s="12">
        <f t="shared" ca="1" si="29"/>
        <v>0</v>
      </c>
      <c r="H79" s="91">
        <f t="shared" ca="1" si="30"/>
        <v>0</v>
      </c>
      <c r="I79" s="12">
        <f t="shared" ca="1" si="31"/>
        <v>0</v>
      </c>
      <c r="J79" s="91">
        <f t="shared" ca="1" si="32"/>
        <v>0</v>
      </c>
      <c r="K79" s="12">
        <f t="shared" ca="1" si="33"/>
        <v>0</v>
      </c>
      <c r="L79" s="91">
        <f t="shared" ca="1" si="34"/>
        <v>0</v>
      </c>
      <c r="N79" s="12">
        <f t="shared" ca="1" si="35"/>
        <v>0</v>
      </c>
      <c r="O79" s="91">
        <f t="shared" ca="1" si="36"/>
        <v>0</v>
      </c>
      <c r="P79" s="12">
        <f t="shared" ca="1" si="37"/>
        <v>0</v>
      </c>
      <c r="Q79" s="91">
        <f t="shared" ca="1" si="38"/>
        <v>0</v>
      </c>
      <c r="R79" s="12">
        <f t="shared" ca="1" si="39"/>
        <v>0</v>
      </c>
      <c r="S79" s="91">
        <f t="shared" ca="1" si="40"/>
        <v>0</v>
      </c>
      <c r="T79" s="12">
        <f t="shared" ca="1" si="41"/>
        <v>0</v>
      </c>
      <c r="U79" s="91">
        <f t="shared" ca="1" si="42"/>
        <v>0</v>
      </c>
      <c r="V79" s="12">
        <f t="shared" ca="1" si="43"/>
        <v>0</v>
      </c>
      <c r="W79" s="91">
        <f t="shared" ca="1" si="44"/>
        <v>0</v>
      </c>
      <c r="X79" s="12">
        <f t="shared" ca="1" si="24"/>
        <v>0</v>
      </c>
      <c r="Y79" s="91">
        <f t="shared" ca="1" si="25"/>
        <v>0</v>
      </c>
    </row>
    <row r="80" spans="1:25" s="4" customFormat="1" ht="15.75" thickBot="1" x14ac:dyDescent="0.3">
      <c r="A80" s="4">
        <v>92161</v>
      </c>
      <c r="B80" s="6" t="s">
        <v>1312</v>
      </c>
      <c r="C80" s="6">
        <f t="shared" ca="1" si="45"/>
        <v>28</v>
      </c>
      <c r="D80" s="144">
        <f t="shared" ca="1" si="26"/>
        <v>1</v>
      </c>
      <c r="E80" s="84">
        <f t="shared" ca="1" si="27"/>
        <v>6</v>
      </c>
      <c r="F80" s="92">
        <f t="shared" ca="1" si="28"/>
        <v>2443000</v>
      </c>
      <c r="G80" s="12">
        <f t="shared" ca="1" si="29"/>
        <v>0</v>
      </c>
      <c r="H80" s="91">
        <f t="shared" ca="1" si="30"/>
        <v>0</v>
      </c>
      <c r="I80" s="12">
        <f t="shared" ca="1" si="31"/>
        <v>2</v>
      </c>
      <c r="J80" s="91">
        <f t="shared" ca="1" si="32"/>
        <v>1190000</v>
      </c>
      <c r="K80" s="12">
        <f t="shared" ca="1" si="33"/>
        <v>4</v>
      </c>
      <c r="L80" s="91">
        <f t="shared" ca="1" si="34"/>
        <v>1253000</v>
      </c>
      <c r="N80" s="12">
        <f t="shared" ca="1" si="35"/>
        <v>0</v>
      </c>
      <c r="O80" s="91">
        <f t="shared" ca="1" si="36"/>
        <v>0</v>
      </c>
      <c r="P80" s="12">
        <f t="shared" ca="1" si="37"/>
        <v>5</v>
      </c>
      <c r="Q80" s="91">
        <f t="shared" ca="1" si="38"/>
        <v>2198000</v>
      </c>
      <c r="R80" s="12">
        <f t="shared" ca="1" si="39"/>
        <v>1</v>
      </c>
      <c r="S80" s="91">
        <f t="shared" ca="1" si="40"/>
        <v>245000</v>
      </c>
      <c r="T80" s="12">
        <f t="shared" ca="1" si="41"/>
        <v>0</v>
      </c>
      <c r="U80" s="91">
        <f t="shared" ca="1" si="42"/>
        <v>0</v>
      </c>
      <c r="V80" s="12">
        <f t="shared" ca="1" si="43"/>
        <v>0</v>
      </c>
      <c r="W80" s="91">
        <f t="shared" ca="1" si="44"/>
        <v>0</v>
      </c>
      <c r="X80" s="12">
        <f t="shared" ca="1" si="24"/>
        <v>0</v>
      </c>
      <c r="Y80" s="91">
        <f t="shared" ca="1" si="25"/>
        <v>0</v>
      </c>
    </row>
    <row r="81" spans="1:25" s="4" customFormat="1" ht="15.75" hidden="1" thickBot="1" x14ac:dyDescent="0.3">
      <c r="A81" s="58">
        <v>92162</v>
      </c>
      <c r="B81" s="140"/>
      <c r="C81" s="6">
        <f t="shared" ca="1" si="45"/>
        <v>32</v>
      </c>
      <c r="D81" s="144">
        <f t="shared" ca="1" si="26"/>
        <v>0</v>
      </c>
      <c r="E81" s="84">
        <f t="shared" ca="1" si="27"/>
        <v>0</v>
      </c>
      <c r="F81" s="92">
        <f t="shared" ca="1" si="28"/>
        <v>0</v>
      </c>
      <c r="G81" s="12">
        <f t="shared" ca="1" si="29"/>
        <v>0</v>
      </c>
      <c r="H81" s="91">
        <f t="shared" ca="1" si="30"/>
        <v>0</v>
      </c>
      <c r="I81" s="12">
        <f t="shared" ca="1" si="31"/>
        <v>0</v>
      </c>
      <c r="J81" s="91">
        <f t="shared" ca="1" si="32"/>
        <v>0</v>
      </c>
      <c r="K81" s="12">
        <f t="shared" ca="1" si="33"/>
        <v>0</v>
      </c>
      <c r="L81" s="91">
        <f t="shared" ca="1" si="34"/>
        <v>0</v>
      </c>
      <c r="N81" s="12">
        <f t="shared" ca="1" si="35"/>
        <v>0</v>
      </c>
      <c r="O81" s="91">
        <f t="shared" ca="1" si="36"/>
        <v>0</v>
      </c>
      <c r="P81" s="12">
        <f t="shared" ca="1" si="37"/>
        <v>0</v>
      </c>
      <c r="Q81" s="91">
        <f t="shared" ca="1" si="38"/>
        <v>0</v>
      </c>
      <c r="R81" s="12">
        <f t="shared" ca="1" si="39"/>
        <v>0</v>
      </c>
      <c r="S81" s="91">
        <f t="shared" ca="1" si="40"/>
        <v>0</v>
      </c>
      <c r="T81" s="12">
        <f t="shared" ca="1" si="41"/>
        <v>0</v>
      </c>
      <c r="U81" s="91">
        <f t="shared" ca="1" si="42"/>
        <v>0</v>
      </c>
      <c r="V81" s="12">
        <f t="shared" ca="1" si="43"/>
        <v>0</v>
      </c>
      <c r="W81" s="91">
        <f t="shared" ca="1" si="44"/>
        <v>0</v>
      </c>
      <c r="X81" s="12">
        <f t="shared" ca="1" si="24"/>
        <v>0</v>
      </c>
      <c r="Y81" s="91">
        <f t="shared" ca="1" si="25"/>
        <v>0</v>
      </c>
    </row>
    <row r="82" spans="1:25" s="4" customFormat="1" ht="15.75" hidden="1" thickBot="1" x14ac:dyDescent="0.3">
      <c r="A82" s="4">
        <v>92163</v>
      </c>
      <c r="B82" s="6"/>
      <c r="C82" s="6">
        <f t="shared" ca="1" si="45"/>
        <v>32</v>
      </c>
      <c r="D82" s="144">
        <f t="shared" ca="1" si="26"/>
        <v>0</v>
      </c>
      <c r="E82" s="84">
        <f t="shared" ca="1" si="27"/>
        <v>0</v>
      </c>
      <c r="F82" s="92">
        <f t="shared" ca="1" si="28"/>
        <v>0</v>
      </c>
      <c r="G82" s="12">
        <f t="shared" ca="1" si="29"/>
        <v>0</v>
      </c>
      <c r="H82" s="91">
        <f t="shared" ca="1" si="30"/>
        <v>0</v>
      </c>
      <c r="I82" s="12">
        <f t="shared" ca="1" si="31"/>
        <v>0</v>
      </c>
      <c r="J82" s="91">
        <f t="shared" ca="1" si="32"/>
        <v>0</v>
      </c>
      <c r="K82" s="12">
        <f t="shared" ca="1" si="33"/>
        <v>0</v>
      </c>
      <c r="L82" s="91">
        <f t="shared" ca="1" si="34"/>
        <v>0</v>
      </c>
      <c r="N82" s="12">
        <f t="shared" ca="1" si="35"/>
        <v>0</v>
      </c>
      <c r="O82" s="91">
        <f t="shared" ca="1" si="36"/>
        <v>0</v>
      </c>
      <c r="P82" s="12">
        <f t="shared" ca="1" si="37"/>
        <v>0</v>
      </c>
      <c r="Q82" s="91">
        <f t="shared" ca="1" si="38"/>
        <v>0</v>
      </c>
      <c r="R82" s="12">
        <f t="shared" ca="1" si="39"/>
        <v>0</v>
      </c>
      <c r="S82" s="91">
        <f t="shared" ca="1" si="40"/>
        <v>0</v>
      </c>
      <c r="T82" s="12">
        <f t="shared" ca="1" si="41"/>
        <v>0</v>
      </c>
      <c r="U82" s="91">
        <f t="shared" ca="1" si="42"/>
        <v>0</v>
      </c>
      <c r="V82" s="12">
        <f t="shared" ca="1" si="43"/>
        <v>0</v>
      </c>
      <c r="W82" s="91">
        <f t="shared" ca="1" si="44"/>
        <v>0</v>
      </c>
      <c r="X82" s="12">
        <f t="shared" ref="X82:X118" ca="1" si="46">COUNTIFS(ZIP_5,$A82,PV_Type,X$9)</f>
        <v>0</v>
      </c>
      <c r="Y82" s="91">
        <f t="shared" ref="Y82:Y113" ca="1" si="47">SUMIFS(Struc_W,ZIP_5,$A82,PV_Type,X$9)</f>
        <v>0</v>
      </c>
    </row>
    <row r="83" spans="1:25" s="4" customFormat="1" ht="15.75" hidden="1" thickBot="1" x14ac:dyDescent="0.3">
      <c r="A83" s="58">
        <v>92164</v>
      </c>
      <c r="B83" s="140"/>
      <c r="C83" s="6">
        <f t="shared" ca="1" si="45"/>
        <v>32</v>
      </c>
      <c r="D83" s="144">
        <f t="shared" ca="1" si="26"/>
        <v>0</v>
      </c>
      <c r="E83" s="84">
        <f t="shared" ca="1" si="27"/>
        <v>0</v>
      </c>
      <c r="F83" s="92">
        <f t="shared" ca="1" si="28"/>
        <v>0</v>
      </c>
      <c r="G83" s="12">
        <f t="shared" ca="1" si="29"/>
        <v>0</v>
      </c>
      <c r="H83" s="91">
        <f t="shared" ca="1" si="30"/>
        <v>0</v>
      </c>
      <c r="I83" s="12">
        <f t="shared" ca="1" si="31"/>
        <v>0</v>
      </c>
      <c r="J83" s="91">
        <f t="shared" ca="1" si="32"/>
        <v>0</v>
      </c>
      <c r="K83" s="12">
        <f t="shared" ca="1" si="33"/>
        <v>0</v>
      </c>
      <c r="L83" s="91">
        <f t="shared" ca="1" si="34"/>
        <v>0</v>
      </c>
      <c r="N83" s="12">
        <f t="shared" ca="1" si="35"/>
        <v>0</v>
      </c>
      <c r="O83" s="91">
        <f t="shared" ca="1" si="36"/>
        <v>0</v>
      </c>
      <c r="P83" s="12">
        <f t="shared" ca="1" si="37"/>
        <v>0</v>
      </c>
      <c r="Q83" s="91">
        <f t="shared" ca="1" si="38"/>
        <v>0</v>
      </c>
      <c r="R83" s="12">
        <f t="shared" ca="1" si="39"/>
        <v>0</v>
      </c>
      <c r="S83" s="91">
        <f t="shared" ca="1" si="40"/>
        <v>0</v>
      </c>
      <c r="T83" s="12">
        <f t="shared" ca="1" si="41"/>
        <v>0</v>
      </c>
      <c r="U83" s="91">
        <f t="shared" ca="1" si="42"/>
        <v>0</v>
      </c>
      <c r="V83" s="12">
        <f t="shared" ca="1" si="43"/>
        <v>0</v>
      </c>
      <c r="W83" s="91">
        <f t="shared" ca="1" si="44"/>
        <v>0</v>
      </c>
      <c r="X83" s="12">
        <f t="shared" ca="1" si="46"/>
        <v>0</v>
      </c>
      <c r="Y83" s="91">
        <f t="shared" ca="1" si="47"/>
        <v>0</v>
      </c>
    </row>
    <row r="84" spans="1:25" s="4" customFormat="1" ht="15.75" hidden="1" thickBot="1" x14ac:dyDescent="0.3">
      <c r="A84" s="4">
        <v>92165</v>
      </c>
      <c r="B84" s="6"/>
      <c r="C84" s="6">
        <f t="shared" ca="1" si="45"/>
        <v>32</v>
      </c>
      <c r="D84" s="144">
        <f t="shared" ref="D84:D118" ca="1" si="48">COUNTIFS(Site_Sum_W,"&gt;0",ZIP_5,$A84)</f>
        <v>0</v>
      </c>
      <c r="E84" s="84">
        <f t="shared" ref="E84:E118" ca="1" si="49">COUNTIFS(Struc_W,"&gt;0",ZIP_5,$A84)</f>
        <v>0</v>
      </c>
      <c r="F84" s="92">
        <f t="shared" ref="F84:F118" ca="1" si="50">SUMIFS(Struc_W,ZIP_5,$A84)</f>
        <v>0</v>
      </c>
      <c r="G84" s="12">
        <f t="shared" ref="G84:G115" ca="1" si="51">COUNTIFS(ZIP_5,$A84,Struc_W,"&gt;=" &amp;TEXT(H$9,"0"))</f>
        <v>0</v>
      </c>
      <c r="H84" s="91">
        <f t="shared" ref="H84:H118" ca="1" si="52">SUMIFS(Struc_W,ZIP_5,$A84,Struc_W,"&gt;=" &amp;TEXT(H$9,"0"))</f>
        <v>0</v>
      </c>
      <c r="I84" s="12">
        <f t="shared" ref="I84:I115" ca="1" si="53">COUNTIFS(ZIP_5,$A84,Struc_W,"&lt;" &amp;TEXT(H$9,"0"),Struc_W,"&gt;=" &amp;TEXT($J$9,"0"))</f>
        <v>0</v>
      </c>
      <c r="J84" s="91">
        <f t="shared" ref="J84:J118" ca="1" si="54">SUMIFS(Struc_W,ZIP_5,$A84,Struc_W,"&lt;" &amp;TEXT(H$9,"0"),Struc_W,"&gt;=" &amp;TEXT($J$9,"0"))</f>
        <v>0</v>
      </c>
      <c r="K84" s="12">
        <f t="shared" ref="K84:K115" ca="1" si="55">COUNTIFS(ZIP_5,$A84,Struc_W,"&lt;"&amp;TEXT(L$9,"0"),Struc_W,"&gt;0")</f>
        <v>0</v>
      </c>
      <c r="L84" s="91">
        <f t="shared" ref="L84:L118" ca="1" si="56">SUMIFS(Struc_W,ZIP_5,$A84,Struc_W,"&lt;" &amp;TEXT(L$9,"0"))</f>
        <v>0</v>
      </c>
      <c r="N84" s="12">
        <f t="shared" ref="N84:N118" ca="1" si="57">COUNTIFS(ZIP_5,$A84,PV_Type,N$9)</f>
        <v>0</v>
      </c>
      <c r="O84" s="91">
        <f t="shared" ref="O84:O115" ca="1" si="58">SUMIFS(Struc_W,ZIP_5,$A84,PV_Type,N$9)</f>
        <v>0</v>
      </c>
      <c r="P84" s="12">
        <f t="shared" ref="P84:P118" ca="1" si="59">COUNTIFS(ZIP_5,$A84,PV_Type,P$9)</f>
        <v>0</v>
      </c>
      <c r="Q84" s="91">
        <f t="shared" ref="Q84:Q115" ca="1" si="60">SUMIFS(Struc_W,ZIP_5,$A84,PV_Type,P$9)</f>
        <v>0</v>
      </c>
      <c r="R84" s="12">
        <f t="shared" ref="R84:R118" ca="1" si="61">COUNTIFS(ZIP_5,$A84,PV_Type,R$9)</f>
        <v>0</v>
      </c>
      <c r="S84" s="91">
        <f t="shared" ref="S84:S115" ca="1" si="62">SUMIFS(Struc_W,ZIP_5,$A84,PV_Type,R$9)</f>
        <v>0</v>
      </c>
      <c r="T84" s="12">
        <f t="shared" ref="T84:T118" ca="1" si="63">COUNTIFS(ZIP_5,$A84,PV_Type,T$9)</f>
        <v>0</v>
      </c>
      <c r="U84" s="91">
        <f t="shared" ref="U84:U115" ca="1" si="64">SUMIFS(Struc_W,ZIP_5,$A84,PV_Type,T$9)</f>
        <v>0</v>
      </c>
      <c r="V84" s="12">
        <f t="shared" ref="V84:V118" ca="1" si="65">COUNTIFS(ZIP_5,$A84,Map_Sym,V$9)</f>
        <v>0</v>
      </c>
      <c r="W84" s="91">
        <f t="shared" ref="W84:W115" ca="1" si="66">SUMIFS(Struc_W,ZIP_5,$A84,Map_Sym,V$9)</f>
        <v>0</v>
      </c>
      <c r="X84" s="12">
        <f t="shared" ca="1" si="46"/>
        <v>0</v>
      </c>
      <c r="Y84" s="91">
        <f t="shared" ca="1" si="47"/>
        <v>0</v>
      </c>
    </row>
    <row r="85" spans="1:25" s="4" customFormat="1" ht="15.75" hidden="1" thickBot="1" x14ac:dyDescent="0.3">
      <c r="A85" s="4">
        <v>92166</v>
      </c>
      <c r="B85" s="6"/>
      <c r="C85" s="6">
        <f t="shared" ca="1" si="45"/>
        <v>32</v>
      </c>
      <c r="D85" s="144">
        <f t="shared" ca="1" si="48"/>
        <v>0</v>
      </c>
      <c r="E85" s="84">
        <f t="shared" ca="1" si="49"/>
        <v>0</v>
      </c>
      <c r="F85" s="92">
        <f t="shared" ca="1" si="50"/>
        <v>0</v>
      </c>
      <c r="G85" s="12">
        <f t="shared" ca="1" si="51"/>
        <v>0</v>
      </c>
      <c r="H85" s="91">
        <f t="shared" ca="1" si="52"/>
        <v>0</v>
      </c>
      <c r="I85" s="12">
        <f t="shared" ca="1" si="53"/>
        <v>0</v>
      </c>
      <c r="J85" s="91">
        <f t="shared" ca="1" si="54"/>
        <v>0</v>
      </c>
      <c r="K85" s="12">
        <f t="shared" ca="1" si="55"/>
        <v>0</v>
      </c>
      <c r="L85" s="91">
        <f t="shared" ca="1" si="56"/>
        <v>0</v>
      </c>
      <c r="N85" s="12">
        <f t="shared" ca="1" si="57"/>
        <v>0</v>
      </c>
      <c r="O85" s="91">
        <f t="shared" ca="1" si="58"/>
        <v>0</v>
      </c>
      <c r="P85" s="12">
        <f t="shared" ca="1" si="59"/>
        <v>0</v>
      </c>
      <c r="Q85" s="91">
        <f t="shared" ca="1" si="60"/>
        <v>0</v>
      </c>
      <c r="R85" s="12">
        <f t="shared" ca="1" si="61"/>
        <v>0</v>
      </c>
      <c r="S85" s="91">
        <f t="shared" ca="1" si="62"/>
        <v>0</v>
      </c>
      <c r="T85" s="12">
        <f t="shared" ca="1" si="63"/>
        <v>0</v>
      </c>
      <c r="U85" s="91">
        <f t="shared" ca="1" si="64"/>
        <v>0</v>
      </c>
      <c r="V85" s="12">
        <f t="shared" ca="1" si="65"/>
        <v>0</v>
      </c>
      <c r="W85" s="91">
        <f t="shared" ca="1" si="66"/>
        <v>0</v>
      </c>
      <c r="X85" s="12">
        <f t="shared" ca="1" si="46"/>
        <v>0</v>
      </c>
      <c r="Y85" s="91">
        <f t="shared" ca="1" si="47"/>
        <v>0</v>
      </c>
    </row>
    <row r="86" spans="1:25" s="4" customFormat="1" ht="15.75" hidden="1" thickBot="1" x14ac:dyDescent="0.3">
      <c r="A86" s="4">
        <v>92167</v>
      </c>
      <c r="B86" s="6"/>
      <c r="C86" s="6">
        <f t="shared" ref="C86:C118" ca="1" si="67">_xlfn.RANK.EQ(F86,$F$18:$F$118,0)</f>
        <v>32</v>
      </c>
      <c r="D86" s="144">
        <f t="shared" ca="1" si="48"/>
        <v>0</v>
      </c>
      <c r="E86" s="84">
        <f t="shared" ca="1" si="49"/>
        <v>0</v>
      </c>
      <c r="F86" s="92">
        <f t="shared" ca="1" si="50"/>
        <v>0</v>
      </c>
      <c r="G86" s="12">
        <f t="shared" ca="1" si="51"/>
        <v>0</v>
      </c>
      <c r="H86" s="91">
        <f t="shared" ca="1" si="52"/>
        <v>0</v>
      </c>
      <c r="I86" s="12">
        <f t="shared" ca="1" si="53"/>
        <v>0</v>
      </c>
      <c r="J86" s="91">
        <f t="shared" ca="1" si="54"/>
        <v>0</v>
      </c>
      <c r="K86" s="12">
        <f t="shared" ca="1" si="55"/>
        <v>0</v>
      </c>
      <c r="L86" s="91">
        <f t="shared" ca="1" si="56"/>
        <v>0</v>
      </c>
      <c r="N86" s="12">
        <f t="shared" ca="1" si="57"/>
        <v>0</v>
      </c>
      <c r="O86" s="91">
        <f t="shared" ca="1" si="58"/>
        <v>0</v>
      </c>
      <c r="P86" s="12">
        <f t="shared" ca="1" si="59"/>
        <v>0</v>
      </c>
      <c r="Q86" s="91">
        <f t="shared" ca="1" si="60"/>
        <v>0</v>
      </c>
      <c r="R86" s="12">
        <f t="shared" ca="1" si="61"/>
        <v>0</v>
      </c>
      <c r="S86" s="91">
        <f t="shared" ca="1" si="62"/>
        <v>0</v>
      </c>
      <c r="T86" s="12">
        <f t="shared" ca="1" si="63"/>
        <v>0</v>
      </c>
      <c r="U86" s="91">
        <f t="shared" ca="1" si="64"/>
        <v>0</v>
      </c>
      <c r="V86" s="12">
        <f t="shared" ca="1" si="65"/>
        <v>0</v>
      </c>
      <c r="W86" s="91">
        <f t="shared" ca="1" si="66"/>
        <v>0</v>
      </c>
      <c r="X86" s="12">
        <f t="shared" ca="1" si="46"/>
        <v>0</v>
      </c>
      <c r="Y86" s="91">
        <f t="shared" ca="1" si="47"/>
        <v>0</v>
      </c>
    </row>
    <row r="87" spans="1:25" s="4" customFormat="1" ht="15.75" hidden="1" thickBot="1" x14ac:dyDescent="0.3">
      <c r="A87" s="4">
        <v>92168</v>
      </c>
      <c r="B87" s="6"/>
      <c r="C87" s="6">
        <f t="shared" ca="1" si="67"/>
        <v>32</v>
      </c>
      <c r="D87" s="144">
        <f t="shared" ca="1" si="48"/>
        <v>0</v>
      </c>
      <c r="E87" s="84">
        <f t="shared" ca="1" si="49"/>
        <v>0</v>
      </c>
      <c r="F87" s="92">
        <f t="shared" ca="1" si="50"/>
        <v>0</v>
      </c>
      <c r="G87" s="12">
        <f t="shared" ca="1" si="51"/>
        <v>0</v>
      </c>
      <c r="H87" s="91">
        <f t="shared" ca="1" si="52"/>
        <v>0</v>
      </c>
      <c r="I87" s="12">
        <f t="shared" ca="1" si="53"/>
        <v>0</v>
      </c>
      <c r="J87" s="91">
        <f t="shared" ca="1" si="54"/>
        <v>0</v>
      </c>
      <c r="K87" s="12">
        <f t="shared" ca="1" si="55"/>
        <v>0</v>
      </c>
      <c r="L87" s="91">
        <f t="shared" ca="1" si="56"/>
        <v>0</v>
      </c>
      <c r="N87" s="12">
        <f t="shared" ca="1" si="57"/>
        <v>0</v>
      </c>
      <c r="O87" s="91">
        <f t="shared" ca="1" si="58"/>
        <v>0</v>
      </c>
      <c r="P87" s="12">
        <f t="shared" ca="1" si="59"/>
        <v>0</v>
      </c>
      <c r="Q87" s="91">
        <f t="shared" ca="1" si="60"/>
        <v>0</v>
      </c>
      <c r="R87" s="12">
        <f t="shared" ca="1" si="61"/>
        <v>0</v>
      </c>
      <c r="S87" s="91">
        <f t="shared" ca="1" si="62"/>
        <v>0</v>
      </c>
      <c r="T87" s="12">
        <f t="shared" ca="1" si="63"/>
        <v>0</v>
      </c>
      <c r="U87" s="91">
        <f t="shared" ca="1" si="64"/>
        <v>0</v>
      </c>
      <c r="V87" s="12">
        <f t="shared" ca="1" si="65"/>
        <v>0</v>
      </c>
      <c r="W87" s="91">
        <f t="shared" ca="1" si="66"/>
        <v>0</v>
      </c>
      <c r="X87" s="12">
        <f t="shared" ca="1" si="46"/>
        <v>0</v>
      </c>
      <c r="Y87" s="91">
        <f t="shared" ca="1" si="47"/>
        <v>0</v>
      </c>
    </row>
    <row r="88" spans="1:25" s="4" customFormat="1" ht="15.75" hidden="1" thickBot="1" x14ac:dyDescent="0.3">
      <c r="A88" s="4">
        <v>92169</v>
      </c>
      <c r="B88" s="6"/>
      <c r="C88" s="6">
        <f t="shared" ca="1" si="67"/>
        <v>32</v>
      </c>
      <c r="D88" s="144">
        <f t="shared" ca="1" si="48"/>
        <v>0</v>
      </c>
      <c r="E88" s="84">
        <f t="shared" ca="1" si="49"/>
        <v>0</v>
      </c>
      <c r="F88" s="92">
        <f t="shared" ca="1" si="50"/>
        <v>0</v>
      </c>
      <c r="G88" s="12">
        <f t="shared" ca="1" si="51"/>
        <v>0</v>
      </c>
      <c r="H88" s="91">
        <f t="shared" ca="1" si="52"/>
        <v>0</v>
      </c>
      <c r="I88" s="12">
        <f t="shared" ca="1" si="53"/>
        <v>0</v>
      </c>
      <c r="J88" s="91">
        <f t="shared" ca="1" si="54"/>
        <v>0</v>
      </c>
      <c r="K88" s="12">
        <f t="shared" ca="1" si="55"/>
        <v>0</v>
      </c>
      <c r="L88" s="91">
        <f t="shared" ca="1" si="56"/>
        <v>0</v>
      </c>
      <c r="N88" s="12">
        <f t="shared" ca="1" si="57"/>
        <v>0</v>
      </c>
      <c r="O88" s="91">
        <f t="shared" ca="1" si="58"/>
        <v>0</v>
      </c>
      <c r="P88" s="12">
        <f t="shared" ca="1" si="59"/>
        <v>0</v>
      </c>
      <c r="Q88" s="91">
        <f t="shared" ca="1" si="60"/>
        <v>0</v>
      </c>
      <c r="R88" s="12">
        <f t="shared" ca="1" si="61"/>
        <v>0</v>
      </c>
      <c r="S88" s="91">
        <f t="shared" ca="1" si="62"/>
        <v>0</v>
      </c>
      <c r="T88" s="12">
        <f t="shared" ca="1" si="63"/>
        <v>0</v>
      </c>
      <c r="U88" s="91">
        <f t="shared" ca="1" si="64"/>
        <v>0</v>
      </c>
      <c r="V88" s="12">
        <f t="shared" ca="1" si="65"/>
        <v>0</v>
      </c>
      <c r="W88" s="91">
        <f t="shared" ca="1" si="66"/>
        <v>0</v>
      </c>
      <c r="X88" s="12">
        <f t="shared" ca="1" si="46"/>
        <v>0</v>
      </c>
      <c r="Y88" s="91">
        <f t="shared" ca="1" si="47"/>
        <v>0</v>
      </c>
    </row>
    <row r="89" spans="1:25" s="4" customFormat="1" ht="15.75" hidden="1" thickBot="1" x14ac:dyDescent="0.3">
      <c r="A89" s="4">
        <v>92170</v>
      </c>
      <c r="B89" s="6"/>
      <c r="C89" s="6">
        <f t="shared" ca="1" si="67"/>
        <v>32</v>
      </c>
      <c r="D89" s="144">
        <f t="shared" ca="1" si="48"/>
        <v>0</v>
      </c>
      <c r="E89" s="84">
        <f t="shared" ca="1" si="49"/>
        <v>0</v>
      </c>
      <c r="F89" s="92">
        <f t="shared" ca="1" si="50"/>
        <v>0</v>
      </c>
      <c r="G89" s="12">
        <f t="shared" ca="1" si="51"/>
        <v>0</v>
      </c>
      <c r="H89" s="91">
        <f t="shared" ca="1" si="52"/>
        <v>0</v>
      </c>
      <c r="I89" s="12">
        <f t="shared" ca="1" si="53"/>
        <v>0</v>
      </c>
      <c r="J89" s="91">
        <f t="shared" ca="1" si="54"/>
        <v>0</v>
      </c>
      <c r="K89" s="12">
        <f t="shared" ca="1" si="55"/>
        <v>0</v>
      </c>
      <c r="L89" s="91">
        <f t="shared" ca="1" si="56"/>
        <v>0</v>
      </c>
      <c r="N89" s="12">
        <f t="shared" ca="1" si="57"/>
        <v>0</v>
      </c>
      <c r="O89" s="91">
        <f t="shared" ca="1" si="58"/>
        <v>0</v>
      </c>
      <c r="P89" s="12">
        <f t="shared" ca="1" si="59"/>
        <v>0</v>
      </c>
      <c r="Q89" s="91">
        <f t="shared" ca="1" si="60"/>
        <v>0</v>
      </c>
      <c r="R89" s="12">
        <f t="shared" ca="1" si="61"/>
        <v>0</v>
      </c>
      <c r="S89" s="91">
        <f t="shared" ca="1" si="62"/>
        <v>0</v>
      </c>
      <c r="T89" s="12">
        <f t="shared" ca="1" si="63"/>
        <v>0</v>
      </c>
      <c r="U89" s="91">
        <f t="shared" ca="1" si="64"/>
        <v>0</v>
      </c>
      <c r="V89" s="12">
        <f t="shared" ca="1" si="65"/>
        <v>0</v>
      </c>
      <c r="W89" s="91">
        <f t="shared" ca="1" si="66"/>
        <v>0</v>
      </c>
      <c r="X89" s="12">
        <f t="shared" ca="1" si="46"/>
        <v>0</v>
      </c>
      <c r="Y89" s="91">
        <f t="shared" ca="1" si="47"/>
        <v>0</v>
      </c>
    </row>
    <row r="90" spans="1:25" s="4" customFormat="1" ht="15.75" hidden="1" thickBot="1" x14ac:dyDescent="0.3">
      <c r="A90" s="4">
        <v>92171</v>
      </c>
      <c r="B90" s="6"/>
      <c r="C90" s="6">
        <f t="shared" ca="1" si="67"/>
        <v>32</v>
      </c>
      <c r="D90" s="144">
        <f t="shared" ca="1" si="48"/>
        <v>0</v>
      </c>
      <c r="E90" s="84">
        <f t="shared" ca="1" si="49"/>
        <v>0</v>
      </c>
      <c r="F90" s="92">
        <f t="shared" ca="1" si="50"/>
        <v>0</v>
      </c>
      <c r="G90" s="12">
        <f t="shared" ca="1" si="51"/>
        <v>0</v>
      </c>
      <c r="H90" s="91">
        <f t="shared" ca="1" si="52"/>
        <v>0</v>
      </c>
      <c r="I90" s="12">
        <f t="shared" ca="1" si="53"/>
        <v>0</v>
      </c>
      <c r="J90" s="91">
        <f t="shared" ca="1" si="54"/>
        <v>0</v>
      </c>
      <c r="K90" s="12">
        <f t="shared" ca="1" si="55"/>
        <v>0</v>
      </c>
      <c r="L90" s="91">
        <f t="shared" ca="1" si="56"/>
        <v>0</v>
      </c>
      <c r="N90" s="12">
        <f t="shared" ca="1" si="57"/>
        <v>0</v>
      </c>
      <c r="O90" s="91">
        <f t="shared" ca="1" si="58"/>
        <v>0</v>
      </c>
      <c r="P90" s="12">
        <f t="shared" ca="1" si="59"/>
        <v>0</v>
      </c>
      <c r="Q90" s="91">
        <f t="shared" ca="1" si="60"/>
        <v>0</v>
      </c>
      <c r="R90" s="12">
        <f t="shared" ca="1" si="61"/>
        <v>0</v>
      </c>
      <c r="S90" s="91">
        <f t="shared" ca="1" si="62"/>
        <v>0</v>
      </c>
      <c r="T90" s="12">
        <f t="shared" ca="1" si="63"/>
        <v>0</v>
      </c>
      <c r="U90" s="91">
        <f t="shared" ca="1" si="64"/>
        <v>0</v>
      </c>
      <c r="V90" s="12">
        <f t="shared" ca="1" si="65"/>
        <v>0</v>
      </c>
      <c r="W90" s="91">
        <f t="shared" ca="1" si="66"/>
        <v>0</v>
      </c>
      <c r="X90" s="12">
        <f t="shared" ca="1" si="46"/>
        <v>0</v>
      </c>
      <c r="Y90" s="91">
        <f t="shared" ca="1" si="47"/>
        <v>0</v>
      </c>
    </row>
    <row r="91" spans="1:25" s="4" customFormat="1" ht="15.75" hidden="1" thickBot="1" x14ac:dyDescent="0.3">
      <c r="A91" s="4">
        <v>92172</v>
      </c>
      <c r="B91" s="6"/>
      <c r="C91" s="6">
        <f t="shared" ca="1" si="67"/>
        <v>32</v>
      </c>
      <c r="D91" s="144">
        <f t="shared" ca="1" si="48"/>
        <v>0</v>
      </c>
      <c r="E91" s="84">
        <f t="shared" ca="1" si="49"/>
        <v>0</v>
      </c>
      <c r="F91" s="92">
        <f t="shared" ca="1" si="50"/>
        <v>0</v>
      </c>
      <c r="G91" s="12">
        <f t="shared" ca="1" si="51"/>
        <v>0</v>
      </c>
      <c r="H91" s="91">
        <f t="shared" ca="1" si="52"/>
        <v>0</v>
      </c>
      <c r="I91" s="12">
        <f t="shared" ca="1" si="53"/>
        <v>0</v>
      </c>
      <c r="J91" s="91">
        <f t="shared" ca="1" si="54"/>
        <v>0</v>
      </c>
      <c r="K91" s="12">
        <f t="shared" ca="1" si="55"/>
        <v>0</v>
      </c>
      <c r="L91" s="91">
        <f t="shared" ca="1" si="56"/>
        <v>0</v>
      </c>
      <c r="N91" s="12">
        <f t="shared" ca="1" si="57"/>
        <v>0</v>
      </c>
      <c r="O91" s="91">
        <f t="shared" ca="1" si="58"/>
        <v>0</v>
      </c>
      <c r="P91" s="12">
        <f t="shared" ca="1" si="59"/>
        <v>0</v>
      </c>
      <c r="Q91" s="91">
        <f t="shared" ca="1" si="60"/>
        <v>0</v>
      </c>
      <c r="R91" s="12">
        <f t="shared" ca="1" si="61"/>
        <v>0</v>
      </c>
      <c r="S91" s="91">
        <f t="shared" ca="1" si="62"/>
        <v>0</v>
      </c>
      <c r="T91" s="12">
        <f t="shared" ca="1" si="63"/>
        <v>0</v>
      </c>
      <c r="U91" s="91">
        <f t="shared" ca="1" si="64"/>
        <v>0</v>
      </c>
      <c r="V91" s="12">
        <f t="shared" ca="1" si="65"/>
        <v>0</v>
      </c>
      <c r="W91" s="91">
        <f t="shared" ca="1" si="66"/>
        <v>0</v>
      </c>
      <c r="X91" s="12">
        <f t="shared" ca="1" si="46"/>
        <v>0</v>
      </c>
      <c r="Y91" s="91">
        <f t="shared" ca="1" si="47"/>
        <v>0</v>
      </c>
    </row>
    <row r="92" spans="1:25" s="4" customFormat="1" ht="15.75" thickBot="1" x14ac:dyDescent="0.3">
      <c r="A92" s="4">
        <v>92173</v>
      </c>
      <c r="B92" s="6" t="s">
        <v>1312</v>
      </c>
      <c r="C92" s="6">
        <f t="shared" ca="1" si="67"/>
        <v>16</v>
      </c>
      <c r="D92" s="144">
        <f t="shared" ca="1" si="48"/>
        <v>3</v>
      </c>
      <c r="E92" s="84">
        <f t="shared" ca="1" si="49"/>
        <v>33</v>
      </c>
      <c r="F92" s="92">
        <f t="shared" ca="1" si="50"/>
        <v>8865300</v>
      </c>
      <c r="G92" s="12">
        <f t="shared" ca="1" si="51"/>
        <v>0</v>
      </c>
      <c r="H92" s="91">
        <f t="shared" ca="1" si="52"/>
        <v>0</v>
      </c>
      <c r="I92" s="12">
        <f t="shared" ca="1" si="53"/>
        <v>3</v>
      </c>
      <c r="J92" s="91">
        <f t="shared" ca="1" si="54"/>
        <v>1949000</v>
      </c>
      <c r="K92" s="12">
        <f t="shared" ca="1" si="55"/>
        <v>30</v>
      </c>
      <c r="L92" s="91">
        <f t="shared" ca="1" si="56"/>
        <v>6916300</v>
      </c>
      <c r="N92" s="12">
        <f t="shared" ca="1" si="57"/>
        <v>21</v>
      </c>
      <c r="O92" s="91">
        <f t="shared" ca="1" si="58"/>
        <v>4921800</v>
      </c>
      <c r="P92" s="12">
        <f t="shared" ca="1" si="59"/>
        <v>12</v>
      </c>
      <c r="Q92" s="91">
        <f t="shared" ca="1" si="60"/>
        <v>3943500</v>
      </c>
      <c r="R92" s="12">
        <f t="shared" ca="1" si="61"/>
        <v>0</v>
      </c>
      <c r="S92" s="91">
        <f t="shared" ca="1" si="62"/>
        <v>0</v>
      </c>
      <c r="T92" s="12">
        <f t="shared" ca="1" si="63"/>
        <v>0</v>
      </c>
      <c r="U92" s="91">
        <f t="shared" ca="1" si="64"/>
        <v>0</v>
      </c>
      <c r="V92" s="12">
        <f t="shared" ca="1" si="65"/>
        <v>0</v>
      </c>
      <c r="W92" s="91">
        <f t="shared" ca="1" si="66"/>
        <v>0</v>
      </c>
      <c r="X92" s="12">
        <f t="shared" ca="1" si="46"/>
        <v>0</v>
      </c>
      <c r="Y92" s="91">
        <f t="shared" ca="1" si="47"/>
        <v>0</v>
      </c>
    </row>
    <row r="93" spans="1:25" s="4" customFormat="1" ht="15.75" hidden="1" thickBot="1" x14ac:dyDescent="0.3">
      <c r="A93" s="4">
        <v>92174</v>
      </c>
      <c r="B93" s="6"/>
      <c r="C93" s="6">
        <f t="shared" ca="1" si="67"/>
        <v>32</v>
      </c>
      <c r="D93" s="144">
        <f t="shared" ca="1" si="48"/>
        <v>0</v>
      </c>
      <c r="E93" s="84">
        <f t="shared" ca="1" si="49"/>
        <v>0</v>
      </c>
      <c r="F93" s="92">
        <f t="shared" ca="1" si="50"/>
        <v>0</v>
      </c>
      <c r="G93" s="12">
        <f t="shared" ca="1" si="51"/>
        <v>0</v>
      </c>
      <c r="H93" s="91">
        <f t="shared" ca="1" si="52"/>
        <v>0</v>
      </c>
      <c r="I93" s="12">
        <f t="shared" ca="1" si="53"/>
        <v>0</v>
      </c>
      <c r="J93" s="91">
        <f t="shared" ca="1" si="54"/>
        <v>0</v>
      </c>
      <c r="K93" s="12">
        <f t="shared" ca="1" si="55"/>
        <v>0</v>
      </c>
      <c r="L93" s="91">
        <f t="shared" ca="1" si="56"/>
        <v>0</v>
      </c>
      <c r="N93" s="12">
        <f t="shared" ca="1" si="57"/>
        <v>0</v>
      </c>
      <c r="O93" s="91">
        <f t="shared" ca="1" si="58"/>
        <v>0</v>
      </c>
      <c r="P93" s="12">
        <f t="shared" ca="1" si="59"/>
        <v>0</v>
      </c>
      <c r="Q93" s="91">
        <f t="shared" ca="1" si="60"/>
        <v>0</v>
      </c>
      <c r="R93" s="12">
        <f t="shared" ca="1" si="61"/>
        <v>0</v>
      </c>
      <c r="S93" s="91">
        <f t="shared" ca="1" si="62"/>
        <v>0</v>
      </c>
      <c r="T93" s="12">
        <f t="shared" ca="1" si="63"/>
        <v>0</v>
      </c>
      <c r="U93" s="91">
        <f t="shared" ca="1" si="64"/>
        <v>0</v>
      </c>
      <c r="V93" s="12">
        <f t="shared" ca="1" si="65"/>
        <v>0</v>
      </c>
      <c r="W93" s="91">
        <f t="shared" ca="1" si="66"/>
        <v>0</v>
      </c>
      <c r="X93" s="12">
        <f t="shared" ca="1" si="46"/>
        <v>0</v>
      </c>
      <c r="Y93" s="91">
        <f t="shared" ca="1" si="47"/>
        <v>0</v>
      </c>
    </row>
    <row r="94" spans="1:25" s="4" customFormat="1" ht="15.75" hidden="1" thickBot="1" x14ac:dyDescent="0.3">
      <c r="A94" s="4">
        <v>92175</v>
      </c>
      <c r="B94" s="6"/>
      <c r="C94" s="6">
        <f t="shared" ca="1" si="67"/>
        <v>32</v>
      </c>
      <c r="D94" s="144">
        <f t="shared" ca="1" si="48"/>
        <v>0</v>
      </c>
      <c r="E94" s="84">
        <f t="shared" ca="1" si="49"/>
        <v>0</v>
      </c>
      <c r="F94" s="92">
        <f t="shared" ca="1" si="50"/>
        <v>0</v>
      </c>
      <c r="G94" s="12">
        <f t="shared" ca="1" si="51"/>
        <v>0</v>
      </c>
      <c r="H94" s="91">
        <f t="shared" ca="1" si="52"/>
        <v>0</v>
      </c>
      <c r="I94" s="12">
        <f t="shared" ca="1" si="53"/>
        <v>0</v>
      </c>
      <c r="J94" s="91">
        <f t="shared" ca="1" si="54"/>
        <v>0</v>
      </c>
      <c r="K94" s="12">
        <f t="shared" ca="1" si="55"/>
        <v>0</v>
      </c>
      <c r="L94" s="91">
        <f t="shared" ca="1" si="56"/>
        <v>0</v>
      </c>
      <c r="N94" s="12">
        <f t="shared" ca="1" si="57"/>
        <v>0</v>
      </c>
      <c r="O94" s="91">
        <f t="shared" ca="1" si="58"/>
        <v>0</v>
      </c>
      <c r="P94" s="12">
        <f t="shared" ca="1" si="59"/>
        <v>0</v>
      </c>
      <c r="Q94" s="91">
        <f t="shared" ca="1" si="60"/>
        <v>0</v>
      </c>
      <c r="R94" s="12">
        <f t="shared" ca="1" si="61"/>
        <v>0</v>
      </c>
      <c r="S94" s="91">
        <f t="shared" ca="1" si="62"/>
        <v>0</v>
      </c>
      <c r="T94" s="12">
        <f t="shared" ca="1" si="63"/>
        <v>0</v>
      </c>
      <c r="U94" s="91">
        <f t="shared" ca="1" si="64"/>
        <v>0</v>
      </c>
      <c r="V94" s="12">
        <f t="shared" ca="1" si="65"/>
        <v>0</v>
      </c>
      <c r="W94" s="91">
        <f t="shared" ca="1" si="66"/>
        <v>0</v>
      </c>
      <c r="X94" s="12">
        <f t="shared" ca="1" si="46"/>
        <v>0</v>
      </c>
      <c r="Y94" s="91">
        <f t="shared" ca="1" si="47"/>
        <v>0</v>
      </c>
    </row>
    <row r="95" spans="1:25" s="4" customFormat="1" ht="15.75" hidden="1" thickBot="1" x14ac:dyDescent="0.3">
      <c r="A95" s="4">
        <v>92176</v>
      </c>
      <c r="B95" s="6"/>
      <c r="C95" s="6">
        <f t="shared" ca="1" si="67"/>
        <v>32</v>
      </c>
      <c r="D95" s="144">
        <f t="shared" ca="1" si="48"/>
        <v>0</v>
      </c>
      <c r="E95" s="84">
        <f t="shared" ca="1" si="49"/>
        <v>0</v>
      </c>
      <c r="F95" s="92">
        <f t="shared" ca="1" si="50"/>
        <v>0</v>
      </c>
      <c r="G95" s="12">
        <f t="shared" ca="1" si="51"/>
        <v>0</v>
      </c>
      <c r="H95" s="91">
        <f t="shared" ca="1" si="52"/>
        <v>0</v>
      </c>
      <c r="I95" s="12">
        <f t="shared" ca="1" si="53"/>
        <v>0</v>
      </c>
      <c r="J95" s="91">
        <f t="shared" ca="1" si="54"/>
        <v>0</v>
      </c>
      <c r="K95" s="12">
        <f t="shared" ca="1" si="55"/>
        <v>0</v>
      </c>
      <c r="L95" s="91">
        <f t="shared" ca="1" si="56"/>
        <v>0</v>
      </c>
      <c r="N95" s="12">
        <f t="shared" ca="1" si="57"/>
        <v>0</v>
      </c>
      <c r="O95" s="91">
        <f t="shared" ca="1" si="58"/>
        <v>0</v>
      </c>
      <c r="P95" s="12">
        <f t="shared" ca="1" si="59"/>
        <v>0</v>
      </c>
      <c r="Q95" s="91">
        <f t="shared" ca="1" si="60"/>
        <v>0</v>
      </c>
      <c r="R95" s="12">
        <f t="shared" ca="1" si="61"/>
        <v>0</v>
      </c>
      <c r="S95" s="91">
        <f t="shared" ca="1" si="62"/>
        <v>0</v>
      </c>
      <c r="T95" s="12">
        <f t="shared" ca="1" si="63"/>
        <v>0</v>
      </c>
      <c r="U95" s="91">
        <f t="shared" ca="1" si="64"/>
        <v>0</v>
      </c>
      <c r="V95" s="12">
        <f t="shared" ca="1" si="65"/>
        <v>0</v>
      </c>
      <c r="W95" s="91">
        <f t="shared" ca="1" si="66"/>
        <v>0</v>
      </c>
      <c r="X95" s="12">
        <f t="shared" ca="1" si="46"/>
        <v>0</v>
      </c>
      <c r="Y95" s="91">
        <f t="shared" ca="1" si="47"/>
        <v>0</v>
      </c>
    </row>
    <row r="96" spans="1:25" s="4" customFormat="1" ht="15.75" hidden="1" thickBot="1" x14ac:dyDescent="0.3">
      <c r="A96" s="4">
        <v>92177</v>
      </c>
      <c r="B96" s="6"/>
      <c r="C96" s="6">
        <f t="shared" ca="1" si="67"/>
        <v>32</v>
      </c>
      <c r="D96" s="144">
        <f t="shared" ca="1" si="48"/>
        <v>0</v>
      </c>
      <c r="E96" s="84">
        <f t="shared" ca="1" si="49"/>
        <v>0</v>
      </c>
      <c r="F96" s="92">
        <f t="shared" ca="1" si="50"/>
        <v>0</v>
      </c>
      <c r="G96" s="12">
        <f t="shared" ca="1" si="51"/>
        <v>0</v>
      </c>
      <c r="H96" s="91">
        <f t="shared" ca="1" si="52"/>
        <v>0</v>
      </c>
      <c r="I96" s="12">
        <f t="shared" ca="1" si="53"/>
        <v>0</v>
      </c>
      <c r="J96" s="91">
        <f t="shared" ca="1" si="54"/>
        <v>0</v>
      </c>
      <c r="K96" s="12">
        <f t="shared" ca="1" si="55"/>
        <v>0</v>
      </c>
      <c r="L96" s="91">
        <f t="shared" ca="1" si="56"/>
        <v>0</v>
      </c>
      <c r="N96" s="12">
        <f t="shared" ca="1" si="57"/>
        <v>0</v>
      </c>
      <c r="O96" s="91">
        <f t="shared" ca="1" si="58"/>
        <v>0</v>
      </c>
      <c r="P96" s="12">
        <f t="shared" ca="1" si="59"/>
        <v>0</v>
      </c>
      <c r="Q96" s="91">
        <f t="shared" ca="1" si="60"/>
        <v>0</v>
      </c>
      <c r="R96" s="12">
        <f t="shared" ca="1" si="61"/>
        <v>0</v>
      </c>
      <c r="S96" s="91">
        <f t="shared" ca="1" si="62"/>
        <v>0</v>
      </c>
      <c r="T96" s="12">
        <f t="shared" ca="1" si="63"/>
        <v>0</v>
      </c>
      <c r="U96" s="91">
        <f t="shared" ca="1" si="64"/>
        <v>0</v>
      </c>
      <c r="V96" s="12">
        <f t="shared" ca="1" si="65"/>
        <v>0</v>
      </c>
      <c r="W96" s="91">
        <f t="shared" ca="1" si="66"/>
        <v>0</v>
      </c>
      <c r="X96" s="12">
        <f t="shared" ca="1" si="46"/>
        <v>0</v>
      </c>
      <c r="Y96" s="91">
        <f t="shared" ca="1" si="47"/>
        <v>0</v>
      </c>
    </row>
    <row r="97" spans="1:25" s="4" customFormat="1" ht="15.75" hidden="1" thickBot="1" x14ac:dyDescent="0.3">
      <c r="A97" s="4">
        <v>92178</v>
      </c>
      <c r="B97" s="6"/>
      <c r="C97" s="6">
        <f t="shared" ca="1" si="67"/>
        <v>32</v>
      </c>
      <c r="D97" s="144">
        <f t="shared" ca="1" si="48"/>
        <v>0</v>
      </c>
      <c r="E97" s="84">
        <f t="shared" ca="1" si="49"/>
        <v>0</v>
      </c>
      <c r="F97" s="92">
        <f t="shared" ca="1" si="50"/>
        <v>0</v>
      </c>
      <c r="G97" s="12">
        <f t="shared" ca="1" si="51"/>
        <v>0</v>
      </c>
      <c r="H97" s="91">
        <f t="shared" ca="1" si="52"/>
        <v>0</v>
      </c>
      <c r="I97" s="12">
        <f t="shared" ca="1" si="53"/>
        <v>0</v>
      </c>
      <c r="J97" s="91">
        <f t="shared" ca="1" si="54"/>
        <v>0</v>
      </c>
      <c r="K97" s="12">
        <f t="shared" ca="1" si="55"/>
        <v>0</v>
      </c>
      <c r="L97" s="91">
        <f t="shared" ca="1" si="56"/>
        <v>0</v>
      </c>
      <c r="N97" s="12">
        <f t="shared" ca="1" si="57"/>
        <v>0</v>
      </c>
      <c r="O97" s="91">
        <f t="shared" ca="1" si="58"/>
        <v>0</v>
      </c>
      <c r="P97" s="12">
        <f t="shared" ca="1" si="59"/>
        <v>0</v>
      </c>
      <c r="Q97" s="91">
        <f t="shared" ca="1" si="60"/>
        <v>0</v>
      </c>
      <c r="R97" s="12">
        <f t="shared" ca="1" si="61"/>
        <v>0</v>
      </c>
      <c r="S97" s="91">
        <f t="shared" ca="1" si="62"/>
        <v>0</v>
      </c>
      <c r="T97" s="12">
        <f t="shared" ca="1" si="63"/>
        <v>0</v>
      </c>
      <c r="U97" s="91">
        <f t="shared" ca="1" si="64"/>
        <v>0</v>
      </c>
      <c r="V97" s="12">
        <f t="shared" ca="1" si="65"/>
        <v>0</v>
      </c>
      <c r="W97" s="91">
        <f t="shared" ca="1" si="66"/>
        <v>0</v>
      </c>
      <c r="X97" s="12">
        <f t="shared" ca="1" si="46"/>
        <v>0</v>
      </c>
      <c r="Y97" s="91">
        <f t="shared" ca="1" si="47"/>
        <v>0</v>
      </c>
    </row>
    <row r="98" spans="1:25" s="4" customFormat="1" ht="15.75" hidden="1" thickBot="1" x14ac:dyDescent="0.3">
      <c r="A98" s="4">
        <v>92179</v>
      </c>
      <c r="B98" s="6"/>
      <c r="C98" s="6">
        <f t="shared" ca="1" si="67"/>
        <v>32</v>
      </c>
      <c r="D98" s="144">
        <f t="shared" ca="1" si="48"/>
        <v>0</v>
      </c>
      <c r="E98" s="84">
        <f t="shared" ca="1" si="49"/>
        <v>0</v>
      </c>
      <c r="F98" s="92">
        <f t="shared" ca="1" si="50"/>
        <v>0</v>
      </c>
      <c r="G98" s="12">
        <f t="shared" ca="1" si="51"/>
        <v>0</v>
      </c>
      <c r="H98" s="91">
        <f t="shared" ca="1" si="52"/>
        <v>0</v>
      </c>
      <c r="I98" s="12">
        <f t="shared" ca="1" si="53"/>
        <v>0</v>
      </c>
      <c r="J98" s="91">
        <f t="shared" ca="1" si="54"/>
        <v>0</v>
      </c>
      <c r="K98" s="12">
        <f t="shared" ca="1" si="55"/>
        <v>0</v>
      </c>
      <c r="L98" s="91">
        <f t="shared" ca="1" si="56"/>
        <v>0</v>
      </c>
      <c r="N98" s="12">
        <f t="shared" ca="1" si="57"/>
        <v>0</v>
      </c>
      <c r="O98" s="91">
        <f t="shared" ca="1" si="58"/>
        <v>0</v>
      </c>
      <c r="P98" s="12">
        <f t="shared" ca="1" si="59"/>
        <v>0</v>
      </c>
      <c r="Q98" s="91">
        <f t="shared" ca="1" si="60"/>
        <v>0</v>
      </c>
      <c r="R98" s="12">
        <f t="shared" ca="1" si="61"/>
        <v>0</v>
      </c>
      <c r="S98" s="91">
        <f t="shared" ca="1" si="62"/>
        <v>0</v>
      </c>
      <c r="T98" s="12">
        <f t="shared" ca="1" si="63"/>
        <v>0</v>
      </c>
      <c r="U98" s="91">
        <f t="shared" ca="1" si="64"/>
        <v>0</v>
      </c>
      <c r="V98" s="12">
        <f t="shared" ca="1" si="65"/>
        <v>0</v>
      </c>
      <c r="W98" s="91">
        <f t="shared" ca="1" si="66"/>
        <v>0</v>
      </c>
      <c r="X98" s="12">
        <f t="shared" ca="1" si="46"/>
        <v>0</v>
      </c>
      <c r="Y98" s="91">
        <f t="shared" ca="1" si="47"/>
        <v>0</v>
      </c>
    </row>
    <row r="99" spans="1:25" s="4" customFormat="1" ht="15.75" hidden="1" thickBot="1" x14ac:dyDescent="0.3">
      <c r="A99" s="58">
        <v>92180</v>
      </c>
      <c r="B99" s="140"/>
      <c r="C99" s="6">
        <f t="shared" ca="1" si="67"/>
        <v>32</v>
      </c>
      <c r="D99" s="144">
        <f t="shared" ca="1" si="48"/>
        <v>0</v>
      </c>
      <c r="E99" s="84">
        <f t="shared" ca="1" si="49"/>
        <v>0</v>
      </c>
      <c r="F99" s="92">
        <f t="shared" ca="1" si="50"/>
        <v>0</v>
      </c>
      <c r="G99" s="12">
        <f t="shared" ca="1" si="51"/>
        <v>0</v>
      </c>
      <c r="H99" s="91">
        <f t="shared" ca="1" si="52"/>
        <v>0</v>
      </c>
      <c r="I99" s="12">
        <f t="shared" ca="1" si="53"/>
        <v>0</v>
      </c>
      <c r="J99" s="91">
        <f t="shared" ca="1" si="54"/>
        <v>0</v>
      </c>
      <c r="K99" s="12">
        <f t="shared" ca="1" si="55"/>
        <v>0</v>
      </c>
      <c r="L99" s="91">
        <f t="shared" ca="1" si="56"/>
        <v>0</v>
      </c>
      <c r="N99" s="12">
        <f t="shared" ca="1" si="57"/>
        <v>0</v>
      </c>
      <c r="O99" s="91">
        <f t="shared" ca="1" si="58"/>
        <v>0</v>
      </c>
      <c r="P99" s="12">
        <f t="shared" ca="1" si="59"/>
        <v>0</v>
      </c>
      <c r="Q99" s="91">
        <f t="shared" ca="1" si="60"/>
        <v>0</v>
      </c>
      <c r="R99" s="12">
        <f t="shared" ca="1" si="61"/>
        <v>0</v>
      </c>
      <c r="S99" s="91">
        <f t="shared" ca="1" si="62"/>
        <v>0</v>
      </c>
      <c r="T99" s="12">
        <f t="shared" ca="1" si="63"/>
        <v>0</v>
      </c>
      <c r="U99" s="91">
        <f t="shared" ca="1" si="64"/>
        <v>0</v>
      </c>
      <c r="V99" s="12">
        <f t="shared" ca="1" si="65"/>
        <v>0</v>
      </c>
      <c r="W99" s="91">
        <f t="shared" ca="1" si="66"/>
        <v>0</v>
      </c>
      <c r="X99" s="12">
        <f t="shared" ca="1" si="46"/>
        <v>0</v>
      </c>
      <c r="Y99" s="91">
        <f t="shared" ca="1" si="47"/>
        <v>0</v>
      </c>
    </row>
    <row r="100" spans="1:25" s="4" customFormat="1" ht="15.75" hidden="1" thickBot="1" x14ac:dyDescent="0.3">
      <c r="A100" s="58">
        <v>92181</v>
      </c>
      <c r="B100" s="140"/>
      <c r="C100" s="6">
        <f t="shared" ca="1" si="67"/>
        <v>32</v>
      </c>
      <c r="D100" s="144">
        <f t="shared" ca="1" si="48"/>
        <v>0</v>
      </c>
      <c r="E100" s="84">
        <f t="shared" ca="1" si="49"/>
        <v>0</v>
      </c>
      <c r="F100" s="92">
        <f t="shared" ca="1" si="50"/>
        <v>0</v>
      </c>
      <c r="G100" s="12">
        <f t="shared" ca="1" si="51"/>
        <v>0</v>
      </c>
      <c r="H100" s="91">
        <f t="shared" ca="1" si="52"/>
        <v>0</v>
      </c>
      <c r="I100" s="12">
        <f t="shared" ca="1" si="53"/>
        <v>0</v>
      </c>
      <c r="J100" s="91">
        <f t="shared" ca="1" si="54"/>
        <v>0</v>
      </c>
      <c r="K100" s="12">
        <f t="shared" ca="1" si="55"/>
        <v>0</v>
      </c>
      <c r="L100" s="91">
        <f t="shared" ca="1" si="56"/>
        <v>0</v>
      </c>
      <c r="N100" s="12">
        <f t="shared" ca="1" si="57"/>
        <v>0</v>
      </c>
      <c r="O100" s="91">
        <f t="shared" ca="1" si="58"/>
        <v>0</v>
      </c>
      <c r="P100" s="12">
        <f t="shared" ca="1" si="59"/>
        <v>0</v>
      </c>
      <c r="Q100" s="91">
        <f t="shared" ca="1" si="60"/>
        <v>0</v>
      </c>
      <c r="R100" s="12">
        <f t="shared" ca="1" si="61"/>
        <v>0</v>
      </c>
      <c r="S100" s="91">
        <f t="shared" ca="1" si="62"/>
        <v>0</v>
      </c>
      <c r="T100" s="12">
        <f t="shared" ca="1" si="63"/>
        <v>0</v>
      </c>
      <c r="U100" s="91">
        <f t="shared" ca="1" si="64"/>
        <v>0</v>
      </c>
      <c r="V100" s="12">
        <f t="shared" ca="1" si="65"/>
        <v>0</v>
      </c>
      <c r="W100" s="91">
        <f t="shared" ca="1" si="66"/>
        <v>0</v>
      </c>
      <c r="X100" s="12">
        <f t="shared" ca="1" si="46"/>
        <v>0</v>
      </c>
      <c r="Y100" s="91">
        <f t="shared" ca="1" si="47"/>
        <v>0</v>
      </c>
    </row>
    <row r="101" spans="1:25" s="4" customFormat="1" ht="15.75" thickBot="1" x14ac:dyDescent="0.3">
      <c r="A101" s="4">
        <v>92182</v>
      </c>
      <c r="B101" s="6" t="s">
        <v>1312</v>
      </c>
      <c r="C101" s="6">
        <f t="shared" ca="1" si="67"/>
        <v>17</v>
      </c>
      <c r="D101" s="144">
        <f t="shared" ca="1" si="48"/>
        <v>1</v>
      </c>
      <c r="E101" s="84">
        <f t="shared" ca="1" si="49"/>
        <v>25</v>
      </c>
      <c r="F101" s="92">
        <f t="shared" ca="1" si="50"/>
        <v>8522500</v>
      </c>
      <c r="G101" s="12">
        <f t="shared" ca="1" si="51"/>
        <v>0</v>
      </c>
      <c r="H101" s="91">
        <f t="shared" ca="1" si="52"/>
        <v>0</v>
      </c>
      <c r="I101" s="12">
        <f t="shared" ca="1" si="53"/>
        <v>6</v>
      </c>
      <c r="J101" s="91">
        <f t="shared" ca="1" si="54"/>
        <v>3836000</v>
      </c>
      <c r="K101" s="12">
        <f t="shared" ca="1" si="55"/>
        <v>19</v>
      </c>
      <c r="L101" s="91">
        <f t="shared" ca="1" si="56"/>
        <v>4686500</v>
      </c>
      <c r="N101" s="12">
        <f t="shared" ca="1" si="57"/>
        <v>6</v>
      </c>
      <c r="O101" s="91">
        <f t="shared" ca="1" si="58"/>
        <v>1382500</v>
      </c>
      <c r="P101" s="12">
        <f t="shared" ca="1" si="59"/>
        <v>14</v>
      </c>
      <c r="Q101" s="91">
        <f t="shared" ca="1" si="60"/>
        <v>4494000</v>
      </c>
      <c r="R101" s="12">
        <f t="shared" ca="1" si="61"/>
        <v>5</v>
      </c>
      <c r="S101" s="91">
        <f t="shared" ca="1" si="62"/>
        <v>2646000</v>
      </c>
      <c r="T101" s="12">
        <f t="shared" ca="1" si="63"/>
        <v>0</v>
      </c>
      <c r="U101" s="91">
        <f t="shared" ca="1" si="64"/>
        <v>0</v>
      </c>
      <c r="V101" s="12">
        <f t="shared" ca="1" si="65"/>
        <v>0</v>
      </c>
      <c r="W101" s="91">
        <f t="shared" ca="1" si="66"/>
        <v>0</v>
      </c>
      <c r="X101" s="12">
        <f t="shared" ca="1" si="46"/>
        <v>0</v>
      </c>
      <c r="Y101" s="91">
        <f t="shared" ca="1" si="47"/>
        <v>0</v>
      </c>
    </row>
    <row r="102" spans="1:25" s="4" customFormat="1" ht="15.75" hidden="1" thickBot="1" x14ac:dyDescent="0.3">
      <c r="A102" s="58">
        <v>92183</v>
      </c>
      <c r="B102" s="140"/>
      <c r="C102" s="6">
        <f t="shared" ca="1" si="67"/>
        <v>32</v>
      </c>
      <c r="D102" s="144">
        <f t="shared" ca="1" si="48"/>
        <v>0</v>
      </c>
      <c r="E102" s="84">
        <f t="shared" ca="1" si="49"/>
        <v>0</v>
      </c>
      <c r="F102" s="92">
        <f t="shared" ca="1" si="50"/>
        <v>0</v>
      </c>
      <c r="G102" s="12">
        <f t="shared" ca="1" si="51"/>
        <v>0</v>
      </c>
      <c r="H102" s="91">
        <f t="shared" ca="1" si="52"/>
        <v>0</v>
      </c>
      <c r="I102" s="12">
        <f t="shared" ca="1" si="53"/>
        <v>0</v>
      </c>
      <c r="J102" s="91">
        <f t="shared" ca="1" si="54"/>
        <v>0</v>
      </c>
      <c r="K102" s="12">
        <f t="shared" ca="1" si="55"/>
        <v>0</v>
      </c>
      <c r="L102" s="91">
        <f t="shared" ca="1" si="56"/>
        <v>0</v>
      </c>
      <c r="N102" s="12">
        <f t="shared" ca="1" si="57"/>
        <v>0</v>
      </c>
      <c r="O102" s="91">
        <f t="shared" ca="1" si="58"/>
        <v>0</v>
      </c>
      <c r="P102" s="12">
        <f t="shared" ca="1" si="59"/>
        <v>0</v>
      </c>
      <c r="Q102" s="91">
        <f t="shared" ca="1" si="60"/>
        <v>0</v>
      </c>
      <c r="R102" s="12">
        <f t="shared" ca="1" si="61"/>
        <v>0</v>
      </c>
      <c r="S102" s="91">
        <f t="shared" ca="1" si="62"/>
        <v>0</v>
      </c>
      <c r="T102" s="12">
        <f t="shared" ca="1" si="63"/>
        <v>0</v>
      </c>
      <c r="U102" s="91">
        <f t="shared" ca="1" si="64"/>
        <v>0</v>
      </c>
      <c r="V102" s="12">
        <f t="shared" ca="1" si="65"/>
        <v>0</v>
      </c>
      <c r="W102" s="91">
        <f t="shared" ca="1" si="66"/>
        <v>0</v>
      </c>
      <c r="X102" s="12">
        <f t="shared" ca="1" si="46"/>
        <v>0</v>
      </c>
      <c r="Y102" s="91">
        <f t="shared" ca="1" si="47"/>
        <v>0</v>
      </c>
    </row>
    <row r="103" spans="1:25" s="4" customFormat="1" ht="15.75" hidden="1" thickBot="1" x14ac:dyDescent="0.3">
      <c r="A103" s="58">
        <v>92184</v>
      </c>
      <c r="B103" s="140"/>
      <c r="C103" s="6">
        <f t="shared" ca="1" si="67"/>
        <v>32</v>
      </c>
      <c r="D103" s="144">
        <f t="shared" ca="1" si="48"/>
        <v>0</v>
      </c>
      <c r="E103" s="84">
        <f t="shared" ca="1" si="49"/>
        <v>0</v>
      </c>
      <c r="F103" s="92">
        <f t="shared" ca="1" si="50"/>
        <v>0</v>
      </c>
      <c r="G103" s="12">
        <f t="shared" ca="1" si="51"/>
        <v>0</v>
      </c>
      <c r="H103" s="91">
        <f t="shared" ca="1" si="52"/>
        <v>0</v>
      </c>
      <c r="I103" s="12">
        <f t="shared" ca="1" si="53"/>
        <v>0</v>
      </c>
      <c r="J103" s="91">
        <f t="shared" ca="1" si="54"/>
        <v>0</v>
      </c>
      <c r="K103" s="12">
        <f t="shared" ca="1" si="55"/>
        <v>0</v>
      </c>
      <c r="L103" s="91">
        <f t="shared" ca="1" si="56"/>
        <v>0</v>
      </c>
      <c r="N103" s="12">
        <f t="shared" ca="1" si="57"/>
        <v>0</v>
      </c>
      <c r="O103" s="91">
        <f t="shared" ca="1" si="58"/>
        <v>0</v>
      </c>
      <c r="P103" s="12">
        <f t="shared" ca="1" si="59"/>
        <v>0</v>
      </c>
      <c r="Q103" s="91">
        <f t="shared" ca="1" si="60"/>
        <v>0</v>
      </c>
      <c r="R103" s="12">
        <f t="shared" ca="1" si="61"/>
        <v>0</v>
      </c>
      <c r="S103" s="91">
        <f t="shared" ca="1" si="62"/>
        <v>0</v>
      </c>
      <c r="T103" s="12">
        <f t="shared" ca="1" si="63"/>
        <v>0</v>
      </c>
      <c r="U103" s="91">
        <f t="shared" ca="1" si="64"/>
        <v>0</v>
      </c>
      <c r="V103" s="12">
        <f t="shared" ca="1" si="65"/>
        <v>0</v>
      </c>
      <c r="W103" s="91">
        <f t="shared" ca="1" si="66"/>
        <v>0</v>
      </c>
      <c r="X103" s="12">
        <f t="shared" ca="1" si="46"/>
        <v>0</v>
      </c>
      <c r="Y103" s="91">
        <f t="shared" ca="1" si="47"/>
        <v>0</v>
      </c>
    </row>
    <row r="104" spans="1:25" s="4" customFormat="1" ht="15.75" hidden="1" thickBot="1" x14ac:dyDescent="0.3">
      <c r="A104" s="58">
        <v>92185</v>
      </c>
      <c r="B104" s="140"/>
      <c r="C104" s="6">
        <f t="shared" ca="1" si="67"/>
        <v>32</v>
      </c>
      <c r="D104" s="144">
        <f t="shared" ca="1" si="48"/>
        <v>0</v>
      </c>
      <c r="E104" s="84">
        <f t="shared" ca="1" si="49"/>
        <v>0</v>
      </c>
      <c r="F104" s="92">
        <f t="shared" ca="1" si="50"/>
        <v>0</v>
      </c>
      <c r="G104" s="12">
        <f t="shared" ca="1" si="51"/>
        <v>0</v>
      </c>
      <c r="H104" s="91">
        <f t="shared" ca="1" si="52"/>
        <v>0</v>
      </c>
      <c r="I104" s="12">
        <f t="shared" ca="1" si="53"/>
        <v>0</v>
      </c>
      <c r="J104" s="91">
        <f t="shared" ca="1" si="54"/>
        <v>0</v>
      </c>
      <c r="K104" s="12">
        <f t="shared" ca="1" si="55"/>
        <v>0</v>
      </c>
      <c r="L104" s="91">
        <f t="shared" ca="1" si="56"/>
        <v>0</v>
      </c>
      <c r="N104" s="12">
        <f t="shared" ca="1" si="57"/>
        <v>0</v>
      </c>
      <c r="O104" s="91">
        <f t="shared" ca="1" si="58"/>
        <v>0</v>
      </c>
      <c r="P104" s="12">
        <f t="shared" ca="1" si="59"/>
        <v>0</v>
      </c>
      <c r="Q104" s="91">
        <f t="shared" ca="1" si="60"/>
        <v>0</v>
      </c>
      <c r="R104" s="12">
        <f t="shared" ca="1" si="61"/>
        <v>0</v>
      </c>
      <c r="S104" s="91">
        <f t="shared" ca="1" si="62"/>
        <v>0</v>
      </c>
      <c r="T104" s="12">
        <f t="shared" ca="1" si="63"/>
        <v>0</v>
      </c>
      <c r="U104" s="91">
        <f t="shared" ca="1" si="64"/>
        <v>0</v>
      </c>
      <c r="V104" s="12">
        <f t="shared" ca="1" si="65"/>
        <v>0</v>
      </c>
      <c r="W104" s="91">
        <f t="shared" ca="1" si="66"/>
        <v>0</v>
      </c>
      <c r="X104" s="12">
        <f t="shared" ca="1" si="46"/>
        <v>0</v>
      </c>
      <c r="Y104" s="91">
        <f t="shared" ca="1" si="47"/>
        <v>0</v>
      </c>
    </row>
    <row r="105" spans="1:25" s="4" customFormat="1" ht="15.75" hidden="1" thickBot="1" x14ac:dyDescent="0.3">
      <c r="A105" s="4">
        <v>92186</v>
      </c>
      <c r="B105" s="6"/>
      <c r="C105" s="6">
        <f t="shared" ca="1" si="67"/>
        <v>32</v>
      </c>
      <c r="D105" s="144">
        <f t="shared" ca="1" si="48"/>
        <v>0</v>
      </c>
      <c r="E105" s="84">
        <f t="shared" ca="1" si="49"/>
        <v>0</v>
      </c>
      <c r="F105" s="92">
        <f t="shared" ca="1" si="50"/>
        <v>0</v>
      </c>
      <c r="G105" s="12">
        <f t="shared" ca="1" si="51"/>
        <v>0</v>
      </c>
      <c r="H105" s="91">
        <f t="shared" ca="1" si="52"/>
        <v>0</v>
      </c>
      <c r="I105" s="12">
        <f t="shared" ca="1" si="53"/>
        <v>0</v>
      </c>
      <c r="J105" s="91">
        <f t="shared" ca="1" si="54"/>
        <v>0</v>
      </c>
      <c r="K105" s="12">
        <f t="shared" ca="1" si="55"/>
        <v>0</v>
      </c>
      <c r="L105" s="91">
        <f t="shared" ca="1" si="56"/>
        <v>0</v>
      </c>
      <c r="N105" s="12">
        <f t="shared" ca="1" si="57"/>
        <v>0</v>
      </c>
      <c r="O105" s="91">
        <f t="shared" ca="1" si="58"/>
        <v>0</v>
      </c>
      <c r="P105" s="12">
        <f t="shared" ca="1" si="59"/>
        <v>0</v>
      </c>
      <c r="Q105" s="91">
        <f t="shared" ca="1" si="60"/>
        <v>0</v>
      </c>
      <c r="R105" s="12">
        <f t="shared" ca="1" si="61"/>
        <v>0</v>
      </c>
      <c r="S105" s="91">
        <f t="shared" ca="1" si="62"/>
        <v>0</v>
      </c>
      <c r="T105" s="12">
        <f t="shared" ca="1" si="63"/>
        <v>0</v>
      </c>
      <c r="U105" s="91">
        <f t="shared" ca="1" si="64"/>
        <v>0</v>
      </c>
      <c r="V105" s="12">
        <f t="shared" ca="1" si="65"/>
        <v>0</v>
      </c>
      <c r="W105" s="91">
        <f t="shared" ca="1" si="66"/>
        <v>0</v>
      </c>
      <c r="X105" s="12">
        <f t="shared" ca="1" si="46"/>
        <v>0</v>
      </c>
      <c r="Y105" s="91">
        <f t="shared" ca="1" si="47"/>
        <v>0</v>
      </c>
    </row>
    <row r="106" spans="1:25" s="4" customFormat="1" ht="15.75" hidden="1" thickBot="1" x14ac:dyDescent="0.3">
      <c r="A106" s="4">
        <v>92187</v>
      </c>
      <c r="B106" s="6"/>
      <c r="C106" s="6">
        <f t="shared" ca="1" si="67"/>
        <v>32</v>
      </c>
      <c r="D106" s="144">
        <f t="shared" ca="1" si="48"/>
        <v>0</v>
      </c>
      <c r="E106" s="84">
        <f t="shared" ca="1" si="49"/>
        <v>0</v>
      </c>
      <c r="F106" s="92">
        <f t="shared" ca="1" si="50"/>
        <v>0</v>
      </c>
      <c r="G106" s="12">
        <f t="shared" ca="1" si="51"/>
        <v>0</v>
      </c>
      <c r="H106" s="91">
        <f t="shared" ca="1" si="52"/>
        <v>0</v>
      </c>
      <c r="I106" s="12">
        <f t="shared" ca="1" si="53"/>
        <v>0</v>
      </c>
      <c r="J106" s="91">
        <f t="shared" ca="1" si="54"/>
        <v>0</v>
      </c>
      <c r="K106" s="12">
        <f t="shared" ca="1" si="55"/>
        <v>0</v>
      </c>
      <c r="L106" s="91">
        <f t="shared" ca="1" si="56"/>
        <v>0</v>
      </c>
      <c r="N106" s="12">
        <f t="shared" ca="1" si="57"/>
        <v>0</v>
      </c>
      <c r="O106" s="91">
        <f t="shared" ca="1" si="58"/>
        <v>0</v>
      </c>
      <c r="P106" s="12">
        <f t="shared" ca="1" si="59"/>
        <v>0</v>
      </c>
      <c r="Q106" s="91">
        <f t="shared" ca="1" si="60"/>
        <v>0</v>
      </c>
      <c r="R106" s="12">
        <f t="shared" ca="1" si="61"/>
        <v>0</v>
      </c>
      <c r="S106" s="91">
        <f t="shared" ca="1" si="62"/>
        <v>0</v>
      </c>
      <c r="T106" s="12">
        <f t="shared" ca="1" si="63"/>
        <v>0</v>
      </c>
      <c r="U106" s="91">
        <f t="shared" ca="1" si="64"/>
        <v>0</v>
      </c>
      <c r="V106" s="12">
        <f t="shared" ca="1" si="65"/>
        <v>0</v>
      </c>
      <c r="W106" s="91">
        <f t="shared" ca="1" si="66"/>
        <v>0</v>
      </c>
      <c r="X106" s="12">
        <f t="shared" ca="1" si="46"/>
        <v>0</v>
      </c>
      <c r="Y106" s="91">
        <f t="shared" ca="1" si="47"/>
        <v>0</v>
      </c>
    </row>
    <row r="107" spans="1:25" s="4" customFormat="1" ht="15.75" hidden="1" thickBot="1" x14ac:dyDescent="0.3">
      <c r="A107" s="58">
        <v>92188</v>
      </c>
      <c r="B107" s="140"/>
      <c r="C107" s="6">
        <f t="shared" ca="1" si="67"/>
        <v>32</v>
      </c>
      <c r="D107" s="144">
        <f t="shared" ca="1" si="48"/>
        <v>0</v>
      </c>
      <c r="E107" s="84">
        <f t="shared" ca="1" si="49"/>
        <v>0</v>
      </c>
      <c r="F107" s="92">
        <f t="shared" ca="1" si="50"/>
        <v>0</v>
      </c>
      <c r="G107" s="12">
        <f t="shared" ca="1" si="51"/>
        <v>0</v>
      </c>
      <c r="H107" s="91">
        <f t="shared" ca="1" si="52"/>
        <v>0</v>
      </c>
      <c r="I107" s="12">
        <f t="shared" ca="1" si="53"/>
        <v>0</v>
      </c>
      <c r="J107" s="91">
        <f t="shared" ca="1" si="54"/>
        <v>0</v>
      </c>
      <c r="K107" s="12">
        <f t="shared" ca="1" si="55"/>
        <v>0</v>
      </c>
      <c r="L107" s="91">
        <f t="shared" ca="1" si="56"/>
        <v>0</v>
      </c>
      <c r="N107" s="12">
        <f t="shared" ca="1" si="57"/>
        <v>0</v>
      </c>
      <c r="O107" s="91">
        <f t="shared" ca="1" si="58"/>
        <v>0</v>
      </c>
      <c r="P107" s="12">
        <f t="shared" ca="1" si="59"/>
        <v>0</v>
      </c>
      <c r="Q107" s="91">
        <f t="shared" ca="1" si="60"/>
        <v>0</v>
      </c>
      <c r="R107" s="12">
        <f t="shared" ca="1" si="61"/>
        <v>0</v>
      </c>
      <c r="S107" s="91">
        <f t="shared" ca="1" si="62"/>
        <v>0</v>
      </c>
      <c r="T107" s="12">
        <f t="shared" ca="1" si="63"/>
        <v>0</v>
      </c>
      <c r="U107" s="91">
        <f t="shared" ca="1" si="64"/>
        <v>0</v>
      </c>
      <c r="V107" s="12">
        <f t="shared" ca="1" si="65"/>
        <v>0</v>
      </c>
      <c r="W107" s="91">
        <f t="shared" ca="1" si="66"/>
        <v>0</v>
      </c>
      <c r="X107" s="12">
        <f t="shared" ca="1" si="46"/>
        <v>0</v>
      </c>
      <c r="Y107" s="91">
        <f t="shared" ca="1" si="47"/>
        <v>0</v>
      </c>
    </row>
    <row r="108" spans="1:25" s="4" customFormat="1" ht="15.75" hidden="1" thickBot="1" x14ac:dyDescent="0.3">
      <c r="A108" s="58">
        <v>92189</v>
      </c>
      <c r="B108" s="140"/>
      <c r="C108" s="6">
        <f t="shared" ca="1" si="67"/>
        <v>32</v>
      </c>
      <c r="D108" s="144">
        <f t="shared" ca="1" si="48"/>
        <v>0</v>
      </c>
      <c r="E108" s="84">
        <f t="shared" ca="1" si="49"/>
        <v>0</v>
      </c>
      <c r="F108" s="92">
        <f t="shared" ca="1" si="50"/>
        <v>0</v>
      </c>
      <c r="G108" s="12">
        <f t="shared" ca="1" si="51"/>
        <v>0</v>
      </c>
      <c r="H108" s="91">
        <f t="shared" ca="1" si="52"/>
        <v>0</v>
      </c>
      <c r="I108" s="12">
        <f t="shared" ca="1" si="53"/>
        <v>0</v>
      </c>
      <c r="J108" s="91">
        <f t="shared" ca="1" si="54"/>
        <v>0</v>
      </c>
      <c r="K108" s="12">
        <f t="shared" ca="1" si="55"/>
        <v>0</v>
      </c>
      <c r="L108" s="91">
        <f t="shared" ca="1" si="56"/>
        <v>0</v>
      </c>
      <c r="N108" s="12">
        <f t="shared" ca="1" si="57"/>
        <v>0</v>
      </c>
      <c r="O108" s="91">
        <f t="shared" ca="1" si="58"/>
        <v>0</v>
      </c>
      <c r="P108" s="12">
        <f t="shared" ca="1" si="59"/>
        <v>0</v>
      </c>
      <c r="Q108" s="91">
        <f t="shared" ca="1" si="60"/>
        <v>0</v>
      </c>
      <c r="R108" s="12">
        <f t="shared" ca="1" si="61"/>
        <v>0</v>
      </c>
      <c r="S108" s="91">
        <f t="shared" ca="1" si="62"/>
        <v>0</v>
      </c>
      <c r="T108" s="12">
        <f t="shared" ca="1" si="63"/>
        <v>0</v>
      </c>
      <c r="U108" s="91">
        <f t="shared" ca="1" si="64"/>
        <v>0</v>
      </c>
      <c r="V108" s="12">
        <f t="shared" ca="1" si="65"/>
        <v>0</v>
      </c>
      <c r="W108" s="91">
        <f t="shared" ca="1" si="66"/>
        <v>0</v>
      </c>
      <c r="X108" s="12">
        <f t="shared" ca="1" si="46"/>
        <v>0</v>
      </c>
      <c r="Y108" s="91">
        <f t="shared" ca="1" si="47"/>
        <v>0</v>
      </c>
    </row>
    <row r="109" spans="1:25" s="4" customFormat="1" ht="15.75" hidden="1" thickBot="1" x14ac:dyDescent="0.3">
      <c r="A109" s="4">
        <v>92190</v>
      </c>
      <c r="B109" s="6"/>
      <c r="C109" s="6">
        <f t="shared" ca="1" si="67"/>
        <v>32</v>
      </c>
      <c r="D109" s="144">
        <f t="shared" ca="1" si="48"/>
        <v>0</v>
      </c>
      <c r="E109" s="84">
        <f t="shared" ca="1" si="49"/>
        <v>0</v>
      </c>
      <c r="F109" s="92">
        <f t="shared" ca="1" si="50"/>
        <v>0</v>
      </c>
      <c r="G109" s="12">
        <f t="shared" ca="1" si="51"/>
        <v>0</v>
      </c>
      <c r="H109" s="91">
        <f t="shared" ca="1" si="52"/>
        <v>0</v>
      </c>
      <c r="I109" s="12">
        <f t="shared" ca="1" si="53"/>
        <v>0</v>
      </c>
      <c r="J109" s="91">
        <f t="shared" ca="1" si="54"/>
        <v>0</v>
      </c>
      <c r="K109" s="12">
        <f t="shared" ca="1" si="55"/>
        <v>0</v>
      </c>
      <c r="L109" s="91">
        <f t="shared" ca="1" si="56"/>
        <v>0</v>
      </c>
      <c r="N109" s="12">
        <f t="shared" ca="1" si="57"/>
        <v>0</v>
      </c>
      <c r="O109" s="91">
        <f t="shared" ca="1" si="58"/>
        <v>0</v>
      </c>
      <c r="P109" s="12">
        <f t="shared" ca="1" si="59"/>
        <v>0</v>
      </c>
      <c r="Q109" s="91">
        <f t="shared" ca="1" si="60"/>
        <v>0</v>
      </c>
      <c r="R109" s="12">
        <f t="shared" ca="1" si="61"/>
        <v>0</v>
      </c>
      <c r="S109" s="91">
        <f t="shared" ca="1" si="62"/>
        <v>0</v>
      </c>
      <c r="T109" s="12">
        <f t="shared" ca="1" si="63"/>
        <v>0</v>
      </c>
      <c r="U109" s="91">
        <f t="shared" ca="1" si="64"/>
        <v>0</v>
      </c>
      <c r="V109" s="12">
        <f t="shared" ca="1" si="65"/>
        <v>0</v>
      </c>
      <c r="W109" s="91">
        <f t="shared" ca="1" si="66"/>
        <v>0</v>
      </c>
      <c r="X109" s="12">
        <f t="shared" ca="1" si="46"/>
        <v>0</v>
      </c>
      <c r="Y109" s="91">
        <f t="shared" ca="1" si="47"/>
        <v>0</v>
      </c>
    </row>
    <row r="110" spans="1:25" s="4" customFormat="1" ht="15.75" hidden="1" thickBot="1" x14ac:dyDescent="0.3">
      <c r="A110" s="4">
        <v>92191</v>
      </c>
      <c r="B110" s="6"/>
      <c r="C110" s="6">
        <f t="shared" ca="1" si="67"/>
        <v>32</v>
      </c>
      <c r="D110" s="144">
        <f t="shared" ca="1" si="48"/>
        <v>0</v>
      </c>
      <c r="E110" s="84">
        <f t="shared" ca="1" si="49"/>
        <v>0</v>
      </c>
      <c r="F110" s="92">
        <f t="shared" ca="1" si="50"/>
        <v>0</v>
      </c>
      <c r="G110" s="12">
        <f t="shared" ca="1" si="51"/>
        <v>0</v>
      </c>
      <c r="H110" s="91">
        <f t="shared" ca="1" si="52"/>
        <v>0</v>
      </c>
      <c r="I110" s="12">
        <f t="shared" ca="1" si="53"/>
        <v>0</v>
      </c>
      <c r="J110" s="91">
        <f t="shared" ca="1" si="54"/>
        <v>0</v>
      </c>
      <c r="K110" s="12">
        <f t="shared" ca="1" si="55"/>
        <v>0</v>
      </c>
      <c r="L110" s="91">
        <f t="shared" ca="1" si="56"/>
        <v>0</v>
      </c>
      <c r="N110" s="12">
        <f t="shared" ca="1" si="57"/>
        <v>0</v>
      </c>
      <c r="O110" s="91">
        <f t="shared" ca="1" si="58"/>
        <v>0</v>
      </c>
      <c r="P110" s="12">
        <f t="shared" ca="1" si="59"/>
        <v>0</v>
      </c>
      <c r="Q110" s="91">
        <f t="shared" ca="1" si="60"/>
        <v>0</v>
      </c>
      <c r="R110" s="12">
        <f t="shared" ca="1" si="61"/>
        <v>0</v>
      </c>
      <c r="S110" s="91">
        <f t="shared" ca="1" si="62"/>
        <v>0</v>
      </c>
      <c r="T110" s="12">
        <f t="shared" ca="1" si="63"/>
        <v>0</v>
      </c>
      <c r="U110" s="91">
        <f t="shared" ca="1" si="64"/>
        <v>0</v>
      </c>
      <c r="V110" s="12">
        <f t="shared" ca="1" si="65"/>
        <v>0</v>
      </c>
      <c r="W110" s="91">
        <f t="shared" ca="1" si="66"/>
        <v>0</v>
      </c>
      <c r="X110" s="12">
        <f t="shared" ca="1" si="46"/>
        <v>0</v>
      </c>
      <c r="Y110" s="91">
        <f t="shared" ca="1" si="47"/>
        <v>0</v>
      </c>
    </row>
    <row r="111" spans="1:25" s="4" customFormat="1" ht="15.75" hidden="1" thickBot="1" x14ac:dyDescent="0.3">
      <c r="A111" s="4">
        <v>92192</v>
      </c>
      <c r="B111" s="6"/>
      <c r="C111" s="6">
        <f t="shared" ca="1" si="67"/>
        <v>32</v>
      </c>
      <c r="D111" s="144">
        <f t="shared" ca="1" si="48"/>
        <v>0</v>
      </c>
      <c r="E111" s="84">
        <f t="shared" ca="1" si="49"/>
        <v>0</v>
      </c>
      <c r="F111" s="92">
        <f t="shared" ca="1" si="50"/>
        <v>0</v>
      </c>
      <c r="G111" s="12">
        <f t="shared" ca="1" si="51"/>
        <v>0</v>
      </c>
      <c r="H111" s="91">
        <f t="shared" ca="1" si="52"/>
        <v>0</v>
      </c>
      <c r="I111" s="12">
        <f t="shared" ca="1" si="53"/>
        <v>0</v>
      </c>
      <c r="J111" s="91">
        <f t="shared" ca="1" si="54"/>
        <v>0</v>
      </c>
      <c r="K111" s="12">
        <f t="shared" ca="1" si="55"/>
        <v>0</v>
      </c>
      <c r="L111" s="91">
        <f t="shared" ca="1" si="56"/>
        <v>0</v>
      </c>
      <c r="N111" s="12">
        <f t="shared" ca="1" si="57"/>
        <v>0</v>
      </c>
      <c r="O111" s="91">
        <f t="shared" ca="1" si="58"/>
        <v>0</v>
      </c>
      <c r="P111" s="12">
        <f t="shared" ca="1" si="59"/>
        <v>0</v>
      </c>
      <c r="Q111" s="91">
        <f t="shared" ca="1" si="60"/>
        <v>0</v>
      </c>
      <c r="R111" s="12">
        <f t="shared" ca="1" si="61"/>
        <v>0</v>
      </c>
      <c r="S111" s="91">
        <f t="shared" ca="1" si="62"/>
        <v>0</v>
      </c>
      <c r="T111" s="12">
        <f t="shared" ca="1" si="63"/>
        <v>0</v>
      </c>
      <c r="U111" s="91">
        <f t="shared" ca="1" si="64"/>
        <v>0</v>
      </c>
      <c r="V111" s="12">
        <f t="shared" ca="1" si="65"/>
        <v>0</v>
      </c>
      <c r="W111" s="91">
        <f t="shared" ca="1" si="66"/>
        <v>0</v>
      </c>
      <c r="X111" s="12">
        <f t="shared" ca="1" si="46"/>
        <v>0</v>
      </c>
      <c r="Y111" s="91">
        <f t="shared" ca="1" si="47"/>
        <v>0</v>
      </c>
    </row>
    <row r="112" spans="1:25" s="4" customFormat="1" ht="15.75" hidden="1" thickBot="1" x14ac:dyDescent="0.3">
      <c r="A112" s="4">
        <v>92193</v>
      </c>
      <c r="B112" s="6"/>
      <c r="C112" s="6">
        <f t="shared" ca="1" si="67"/>
        <v>32</v>
      </c>
      <c r="D112" s="144">
        <f t="shared" ca="1" si="48"/>
        <v>0</v>
      </c>
      <c r="E112" s="84">
        <f t="shared" ca="1" si="49"/>
        <v>0</v>
      </c>
      <c r="F112" s="92">
        <f t="shared" ca="1" si="50"/>
        <v>0</v>
      </c>
      <c r="G112" s="12">
        <f t="shared" ca="1" si="51"/>
        <v>0</v>
      </c>
      <c r="H112" s="91">
        <f t="shared" ca="1" si="52"/>
        <v>0</v>
      </c>
      <c r="I112" s="12">
        <f t="shared" ca="1" si="53"/>
        <v>0</v>
      </c>
      <c r="J112" s="91">
        <f t="shared" ca="1" si="54"/>
        <v>0</v>
      </c>
      <c r="K112" s="12">
        <f t="shared" ca="1" si="55"/>
        <v>0</v>
      </c>
      <c r="L112" s="91">
        <f t="shared" ca="1" si="56"/>
        <v>0</v>
      </c>
      <c r="N112" s="12">
        <f t="shared" ca="1" si="57"/>
        <v>0</v>
      </c>
      <c r="O112" s="91">
        <f t="shared" ca="1" si="58"/>
        <v>0</v>
      </c>
      <c r="P112" s="12">
        <f t="shared" ca="1" si="59"/>
        <v>0</v>
      </c>
      <c r="Q112" s="91">
        <f t="shared" ca="1" si="60"/>
        <v>0</v>
      </c>
      <c r="R112" s="12">
        <f t="shared" ca="1" si="61"/>
        <v>0</v>
      </c>
      <c r="S112" s="91">
        <f t="shared" ca="1" si="62"/>
        <v>0</v>
      </c>
      <c r="T112" s="12">
        <f t="shared" ca="1" si="63"/>
        <v>0</v>
      </c>
      <c r="U112" s="91">
        <f t="shared" ca="1" si="64"/>
        <v>0</v>
      </c>
      <c r="V112" s="12">
        <f t="shared" ca="1" si="65"/>
        <v>0</v>
      </c>
      <c r="W112" s="91">
        <f t="shared" ca="1" si="66"/>
        <v>0</v>
      </c>
      <c r="X112" s="12">
        <f t="shared" ca="1" si="46"/>
        <v>0</v>
      </c>
      <c r="Y112" s="91">
        <f t="shared" ca="1" si="47"/>
        <v>0</v>
      </c>
    </row>
    <row r="113" spans="1:25" s="4" customFormat="1" ht="15.75" hidden="1" thickBot="1" x14ac:dyDescent="0.3">
      <c r="A113" s="4">
        <v>92194</v>
      </c>
      <c r="B113" s="6"/>
      <c r="C113" s="6">
        <f t="shared" ca="1" si="67"/>
        <v>32</v>
      </c>
      <c r="D113" s="144">
        <f t="shared" ca="1" si="48"/>
        <v>0</v>
      </c>
      <c r="E113" s="84">
        <f t="shared" ca="1" si="49"/>
        <v>0</v>
      </c>
      <c r="F113" s="92">
        <f t="shared" ca="1" si="50"/>
        <v>0</v>
      </c>
      <c r="G113" s="12">
        <f t="shared" ca="1" si="51"/>
        <v>0</v>
      </c>
      <c r="H113" s="91">
        <f t="shared" ca="1" si="52"/>
        <v>0</v>
      </c>
      <c r="I113" s="12">
        <f t="shared" ca="1" si="53"/>
        <v>0</v>
      </c>
      <c r="J113" s="91">
        <f t="shared" ca="1" si="54"/>
        <v>0</v>
      </c>
      <c r="K113" s="12">
        <f t="shared" ca="1" si="55"/>
        <v>0</v>
      </c>
      <c r="L113" s="91">
        <f t="shared" ca="1" si="56"/>
        <v>0</v>
      </c>
      <c r="N113" s="12">
        <f t="shared" ca="1" si="57"/>
        <v>0</v>
      </c>
      <c r="O113" s="91">
        <f t="shared" ca="1" si="58"/>
        <v>0</v>
      </c>
      <c r="P113" s="12">
        <f t="shared" ca="1" si="59"/>
        <v>0</v>
      </c>
      <c r="Q113" s="91">
        <f t="shared" ca="1" si="60"/>
        <v>0</v>
      </c>
      <c r="R113" s="12">
        <f t="shared" ca="1" si="61"/>
        <v>0</v>
      </c>
      <c r="S113" s="91">
        <f t="shared" ca="1" si="62"/>
        <v>0</v>
      </c>
      <c r="T113" s="12">
        <f t="shared" ca="1" si="63"/>
        <v>0</v>
      </c>
      <c r="U113" s="91">
        <f t="shared" ca="1" si="64"/>
        <v>0</v>
      </c>
      <c r="V113" s="12">
        <f t="shared" ca="1" si="65"/>
        <v>0</v>
      </c>
      <c r="W113" s="91">
        <f t="shared" ca="1" si="66"/>
        <v>0</v>
      </c>
      <c r="X113" s="12">
        <f t="shared" ca="1" si="46"/>
        <v>0</v>
      </c>
      <c r="Y113" s="91">
        <f t="shared" ca="1" si="47"/>
        <v>0</v>
      </c>
    </row>
    <row r="114" spans="1:25" s="4" customFormat="1" ht="15.75" hidden="1" thickBot="1" x14ac:dyDescent="0.3">
      <c r="A114" s="4">
        <v>92195</v>
      </c>
      <c r="B114" s="6"/>
      <c r="C114" s="6">
        <f t="shared" ca="1" si="67"/>
        <v>32</v>
      </c>
      <c r="D114" s="144">
        <f t="shared" ca="1" si="48"/>
        <v>0</v>
      </c>
      <c r="E114" s="84">
        <f t="shared" ca="1" si="49"/>
        <v>0</v>
      </c>
      <c r="F114" s="92">
        <f t="shared" ca="1" si="50"/>
        <v>0</v>
      </c>
      <c r="G114" s="12">
        <f t="shared" ca="1" si="51"/>
        <v>0</v>
      </c>
      <c r="H114" s="91">
        <f t="shared" ca="1" si="52"/>
        <v>0</v>
      </c>
      <c r="I114" s="12">
        <f t="shared" ca="1" si="53"/>
        <v>0</v>
      </c>
      <c r="J114" s="91">
        <f t="shared" ca="1" si="54"/>
        <v>0</v>
      </c>
      <c r="K114" s="12">
        <f t="shared" ca="1" si="55"/>
        <v>0</v>
      </c>
      <c r="L114" s="91">
        <f t="shared" ca="1" si="56"/>
        <v>0</v>
      </c>
      <c r="N114" s="12">
        <f t="shared" ca="1" si="57"/>
        <v>0</v>
      </c>
      <c r="O114" s="91">
        <f t="shared" ca="1" si="58"/>
        <v>0</v>
      </c>
      <c r="P114" s="12">
        <f t="shared" ca="1" si="59"/>
        <v>0</v>
      </c>
      <c r="Q114" s="91">
        <f t="shared" ca="1" si="60"/>
        <v>0</v>
      </c>
      <c r="R114" s="12">
        <f t="shared" ca="1" si="61"/>
        <v>0</v>
      </c>
      <c r="S114" s="91">
        <f t="shared" ca="1" si="62"/>
        <v>0</v>
      </c>
      <c r="T114" s="12">
        <f t="shared" ca="1" si="63"/>
        <v>0</v>
      </c>
      <c r="U114" s="91">
        <f t="shared" ca="1" si="64"/>
        <v>0</v>
      </c>
      <c r="V114" s="12">
        <f t="shared" ca="1" si="65"/>
        <v>0</v>
      </c>
      <c r="W114" s="91">
        <f t="shared" ca="1" si="66"/>
        <v>0</v>
      </c>
      <c r="X114" s="12">
        <f t="shared" ca="1" si="46"/>
        <v>0</v>
      </c>
      <c r="Y114" s="91">
        <f t="shared" ref="Y114:Y118" ca="1" si="68">SUMIFS(Struc_W,ZIP_5,$A114,PV_Type,X$9)</f>
        <v>0</v>
      </c>
    </row>
    <row r="115" spans="1:25" s="4" customFormat="1" ht="15.75" hidden="1" thickBot="1" x14ac:dyDescent="0.3">
      <c r="A115" s="4">
        <v>92196</v>
      </c>
      <c r="B115" s="6"/>
      <c r="C115" s="6">
        <f t="shared" ca="1" si="67"/>
        <v>32</v>
      </c>
      <c r="D115" s="144">
        <f t="shared" ca="1" si="48"/>
        <v>0</v>
      </c>
      <c r="E115" s="84">
        <f t="shared" ca="1" si="49"/>
        <v>0</v>
      </c>
      <c r="F115" s="92">
        <f t="shared" ca="1" si="50"/>
        <v>0</v>
      </c>
      <c r="G115" s="12">
        <f t="shared" ca="1" si="51"/>
        <v>0</v>
      </c>
      <c r="H115" s="91">
        <f t="shared" ca="1" si="52"/>
        <v>0</v>
      </c>
      <c r="I115" s="12">
        <f t="shared" ca="1" si="53"/>
        <v>0</v>
      </c>
      <c r="J115" s="91">
        <f t="shared" ca="1" si="54"/>
        <v>0</v>
      </c>
      <c r="K115" s="12">
        <f t="shared" ca="1" si="55"/>
        <v>0</v>
      </c>
      <c r="L115" s="91">
        <f t="shared" ca="1" si="56"/>
        <v>0</v>
      </c>
      <c r="N115" s="12">
        <f t="shared" ca="1" si="57"/>
        <v>0</v>
      </c>
      <c r="O115" s="91">
        <f t="shared" ca="1" si="58"/>
        <v>0</v>
      </c>
      <c r="P115" s="12">
        <f t="shared" ca="1" si="59"/>
        <v>0</v>
      </c>
      <c r="Q115" s="91">
        <f t="shared" ca="1" si="60"/>
        <v>0</v>
      </c>
      <c r="R115" s="12">
        <f t="shared" ca="1" si="61"/>
        <v>0</v>
      </c>
      <c r="S115" s="91">
        <f t="shared" ca="1" si="62"/>
        <v>0</v>
      </c>
      <c r="T115" s="12">
        <f t="shared" ca="1" si="63"/>
        <v>0</v>
      </c>
      <c r="U115" s="91">
        <f t="shared" ca="1" si="64"/>
        <v>0</v>
      </c>
      <c r="V115" s="12">
        <f t="shared" ca="1" si="65"/>
        <v>0</v>
      </c>
      <c r="W115" s="91">
        <f t="shared" ca="1" si="66"/>
        <v>0</v>
      </c>
      <c r="X115" s="12">
        <f t="shared" ca="1" si="46"/>
        <v>0</v>
      </c>
      <c r="Y115" s="91">
        <f t="shared" ca="1" si="68"/>
        <v>0</v>
      </c>
    </row>
    <row r="116" spans="1:25" s="4" customFormat="1" ht="15.75" hidden="1" thickBot="1" x14ac:dyDescent="0.3">
      <c r="A116" s="4">
        <v>92197</v>
      </c>
      <c r="B116" s="6"/>
      <c r="C116" s="6">
        <f t="shared" ca="1" si="67"/>
        <v>32</v>
      </c>
      <c r="D116" s="144">
        <f t="shared" ca="1" si="48"/>
        <v>0</v>
      </c>
      <c r="E116" s="84">
        <f t="shared" ca="1" si="49"/>
        <v>0</v>
      </c>
      <c r="F116" s="92">
        <f t="shared" ca="1" si="50"/>
        <v>0</v>
      </c>
      <c r="G116" s="12">
        <f ca="1">COUNTIFS(ZIP_5,$A116,Struc_W,"&gt;=" &amp;TEXT(H$9,"0"))</f>
        <v>0</v>
      </c>
      <c r="H116" s="91">
        <f t="shared" ca="1" si="52"/>
        <v>0</v>
      </c>
      <c r="I116" s="12">
        <f ca="1">COUNTIFS(ZIP_5,$A116,Struc_W,"&lt;" &amp;TEXT(H$9,"0"),Struc_W,"&gt;=" &amp;TEXT($J$9,"0"))</f>
        <v>0</v>
      </c>
      <c r="J116" s="91">
        <f t="shared" ca="1" si="54"/>
        <v>0</v>
      </c>
      <c r="K116" s="12">
        <f ca="1">COUNTIFS(ZIP_5,$A116,Struc_W,"&lt;"&amp;TEXT(L$9,"0"),Struc_W,"&gt;0")</f>
        <v>0</v>
      </c>
      <c r="L116" s="91">
        <f t="shared" ca="1" si="56"/>
        <v>0</v>
      </c>
      <c r="N116" s="12">
        <f t="shared" ca="1" si="57"/>
        <v>0</v>
      </c>
      <c r="O116" s="91">
        <f ca="1">SUMIFS(Struc_W,ZIP_5,$A116,PV_Type,N$9)</f>
        <v>0</v>
      </c>
      <c r="P116" s="12">
        <f t="shared" ca="1" si="59"/>
        <v>0</v>
      </c>
      <c r="Q116" s="91">
        <f ca="1">SUMIFS(Struc_W,ZIP_5,$A116,PV_Type,P$9)</f>
        <v>0</v>
      </c>
      <c r="R116" s="12">
        <f t="shared" ca="1" si="61"/>
        <v>0</v>
      </c>
      <c r="S116" s="91">
        <f ca="1">SUMIFS(Struc_W,ZIP_5,$A116,PV_Type,R$9)</f>
        <v>0</v>
      </c>
      <c r="T116" s="12">
        <f t="shared" ca="1" si="63"/>
        <v>0</v>
      </c>
      <c r="U116" s="91">
        <f ca="1">SUMIFS(Struc_W,ZIP_5,$A116,PV_Type,T$9)</f>
        <v>0</v>
      </c>
      <c r="V116" s="12">
        <f t="shared" ca="1" si="65"/>
        <v>0</v>
      </c>
      <c r="W116" s="91">
        <f ca="1">SUMIFS(Struc_W,ZIP_5,$A116,Map_Sym,V$9)</f>
        <v>0</v>
      </c>
      <c r="X116" s="12">
        <f t="shared" ca="1" si="46"/>
        <v>0</v>
      </c>
      <c r="Y116" s="91">
        <f t="shared" ca="1" si="68"/>
        <v>0</v>
      </c>
    </row>
    <row r="117" spans="1:25" s="4" customFormat="1" ht="15.75" hidden="1" thickBot="1" x14ac:dyDescent="0.3">
      <c r="A117" s="4">
        <v>92198</v>
      </c>
      <c r="B117" s="6"/>
      <c r="C117" s="6">
        <f t="shared" ca="1" si="67"/>
        <v>32</v>
      </c>
      <c r="D117" s="144">
        <f t="shared" ca="1" si="48"/>
        <v>0</v>
      </c>
      <c r="E117" s="84">
        <f t="shared" ca="1" si="49"/>
        <v>0</v>
      </c>
      <c r="F117" s="92">
        <f t="shared" ca="1" si="50"/>
        <v>0</v>
      </c>
      <c r="G117" s="12">
        <f ca="1">COUNTIFS(ZIP_5,$A117,Struc_W,"&gt;=" &amp;TEXT(H$9,"0"))</f>
        <v>0</v>
      </c>
      <c r="H117" s="91">
        <f t="shared" ca="1" si="52"/>
        <v>0</v>
      </c>
      <c r="I117" s="12">
        <f ca="1">COUNTIFS(ZIP_5,$A117,Struc_W,"&lt;" &amp;TEXT(H$9,"0"),Struc_W,"&gt;=" &amp;TEXT($J$9,"0"))</f>
        <v>0</v>
      </c>
      <c r="J117" s="91">
        <f t="shared" ca="1" si="54"/>
        <v>0</v>
      </c>
      <c r="K117" s="12">
        <f ca="1">COUNTIFS(ZIP_5,$A117,Struc_W,"&lt;"&amp;TEXT(L$9,"0"),Struc_W,"&gt;0")</f>
        <v>0</v>
      </c>
      <c r="L117" s="91">
        <f t="shared" ca="1" si="56"/>
        <v>0</v>
      </c>
      <c r="N117" s="12">
        <f t="shared" ca="1" si="57"/>
        <v>0</v>
      </c>
      <c r="O117" s="91">
        <f ca="1">SUMIFS(Struc_W,ZIP_5,$A117,PV_Type,N$9)</f>
        <v>0</v>
      </c>
      <c r="P117" s="12">
        <f t="shared" ca="1" si="59"/>
        <v>0</v>
      </c>
      <c r="Q117" s="91">
        <f ca="1">SUMIFS(Struc_W,ZIP_5,$A117,PV_Type,P$9)</f>
        <v>0</v>
      </c>
      <c r="R117" s="12">
        <f t="shared" ca="1" si="61"/>
        <v>0</v>
      </c>
      <c r="S117" s="91">
        <f ca="1">SUMIFS(Struc_W,ZIP_5,$A117,PV_Type,R$9)</f>
        <v>0</v>
      </c>
      <c r="T117" s="12">
        <f t="shared" ca="1" si="63"/>
        <v>0</v>
      </c>
      <c r="U117" s="91">
        <f ca="1">SUMIFS(Struc_W,ZIP_5,$A117,PV_Type,T$9)</f>
        <v>0</v>
      </c>
      <c r="V117" s="12">
        <f t="shared" ca="1" si="65"/>
        <v>0</v>
      </c>
      <c r="W117" s="91">
        <f ca="1">SUMIFS(Struc_W,ZIP_5,$A117,Map_Sym,V$9)</f>
        <v>0</v>
      </c>
      <c r="X117" s="12">
        <f t="shared" ca="1" si="46"/>
        <v>0</v>
      </c>
      <c r="Y117" s="91">
        <f t="shared" ca="1" si="68"/>
        <v>0</v>
      </c>
    </row>
    <row r="118" spans="1:25" s="4" customFormat="1" ht="15.75" thickBot="1" x14ac:dyDescent="0.3">
      <c r="A118" s="4">
        <v>92199</v>
      </c>
      <c r="B118" s="6" t="s">
        <v>1313</v>
      </c>
      <c r="C118" s="6">
        <f t="shared" ca="1" si="67"/>
        <v>22</v>
      </c>
      <c r="D118" s="144">
        <f t="shared" ca="1" si="48"/>
        <v>1</v>
      </c>
      <c r="E118" s="84">
        <f t="shared" ca="1" si="49"/>
        <v>8</v>
      </c>
      <c r="F118" s="92">
        <f t="shared" ca="1" si="50"/>
        <v>5748000</v>
      </c>
      <c r="G118" s="12">
        <f ca="1">COUNTIFS(ZIP_5,$A118,Struc_W,"&gt;=" &amp;TEXT(H$9,"0"))</f>
        <v>1</v>
      </c>
      <c r="H118" s="91">
        <f t="shared" ca="1" si="52"/>
        <v>1393000</v>
      </c>
      <c r="I118" s="12">
        <f ca="1">COUNTIFS(ZIP_5,$A118,Struc_W,"&lt;" &amp;TEXT(H$9,"0"),Struc_W,"&gt;=" &amp;TEXT($J$9,"0"))</f>
        <v>4</v>
      </c>
      <c r="J118" s="91">
        <f t="shared" ca="1" si="54"/>
        <v>3097000</v>
      </c>
      <c r="K118" s="12">
        <f ca="1">COUNTIFS(ZIP_5,$A118,Struc_W,"&lt;"&amp;TEXT(L$9,"0"),Struc_W,"&gt;0")</f>
        <v>3</v>
      </c>
      <c r="L118" s="91">
        <f t="shared" ca="1" si="56"/>
        <v>1258000</v>
      </c>
      <c r="N118" s="12">
        <f t="shared" ca="1" si="57"/>
        <v>5</v>
      </c>
      <c r="O118" s="91">
        <f ca="1">SUMIFS(Struc_W,ZIP_5,$A118,PV_Type,N$9)</f>
        <v>3053000</v>
      </c>
      <c r="P118" s="12">
        <f t="shared" ca="1" si="59"/>
        <v>3</v>
      </c>
      <c r="Q118" s="91">
        <f ca="1">SUMIFS(Struc_W,ZIP_5,$A118,PV_Type,P$9)</f>
        <v>2695000</v>
      </c>
      <c r="R118" s="12">
        <f t="shared" ca="1" si="61"/>
        <v>0</v>
      </c>
      <c r="S118" s="91">
        <f ca="1">SUMIFS(Struc_W,ZIP_5,$A118,PV_Type,R$9)</f>
        <v>0</v>
      </c>
      <c r="T118" s="12">
        <f t="shared" ca="1" si="63"/>
        <v>0</v>
      </c>
      <c r="U118" s="91">
        <f ca="1">SUMIFS(Struc_W,ZIP_5,$A118,PV_Type,T$9)</f>
        <v>0</v>
      </c>
      <c r="V118" s="12">
        <f t="shared" ca="1" si="65"/>
        <v>0</v>
      </c>
      <c r="W118" s="91">
        <f ca="1">SUMIFS(Struc_W,ZIP_5,$A118,Map_Sym,V$9)</f>
        <v>0</v>
      </c>
      <c r="X118" s="12">
        <f t="shared" ca="1" si="46"/>
        <v>0</v>
      </c>
      <c r="Y118" s="91">
        <f t="shared" ca="1" si="68"/>
        <v>0</v>
      </c>
    </row>
    <row r="119" spans="1:25" s="4" customFormat="1" x14ac:dyDescent="0.25">
      <c r="B119" s="6"/>
    </row>
    <row r="120" spans="1:25" s="4" customFormat="1" x14ac:dyDescent="0.25">
      <c r="A120" s="4" t="s">
        <v>953</v>
      </c>
      <c r="B120" s="6"/>
      <c r="E120" s="7" t="s">
        <v>1396</v>
      </c>
      <c r="F120" s="94">
        <f ca="1">F12</f>
        <v>498653020</v>
      </c>
    </row>
    <row r="121" spans="1:25" s="4" customFormat="1" x14ac:dyDescent="0.25">
      <c r="B121" s="6"/>
      <c r="E121" s="7" t="s">
        <v>1397</v>
      </c>
      <c r="F121" s="94">
        <f ca="1">SUM(F18:F118)</f>
        <v>498653020</v>
      </c>
    </row>
    <row r="122" spans="1:25" s="4" customFormat="1" x14ac:dyDescent="0.25">
      <c r="B122" s="6"/>
    </row>
    <row r="123" spans="1:25" s="4" customFormat="1" x14ac:dyDescent="0.25">
      <c r="B123" s="6"/>
      <c r="N123" s="4" t="s">
        <v>229</v>
      </c>
      <c r="P123" s="4" t="s">
        <v>228</v>
      </c>
      <c r="R123" s="4" t="s">
        <v>289</v>
      </c>
      <c r="U123" s="4" t="s">
        <v>230</v>
      </c>
    </row>
    <row r="124" spans="1:25" s="4" customFormat="1" ht="18.75" x14ac:dyDescent="0.3">
      <c r="A124" s="65" t="s">
        <v>321</v>
      </c>
      <c r="B124" s="6"/>
      <c r="R124" s="4" t="s">
        <v>320</v>
      </c>
    </row>
    <row r="125" spans="1:25" s="4" customFormat="1" ht="19.5" thickBot="1" x14ac:dyDescent="0.35">
      <c r="B125" s="137"/>
      <c r="E125" s="65" t="s">
        <v>319</v>
      </c>
    </row>
    <row r="126" spans="1:25" s="4" customFormat="1" ht="15.75" thickBot="1" x14ac:dyDescent="0.3">
      <c r="B126" s="6"/>
      <c r="E126" s="85" t="s">
        <v>316</v>
      </c>
      <c r="F126" s="88" t="s">
        <v>39</v>
      </c>
      <c r="G126" s="24" t="str">
        <f>"PV W_" &amp;DC_AC_Text &amp;" &gt;="</f>
        <v>PV W_AC &gt;=</v>
      </c>
      <c r="H126" s="83">
        <v>3000000</v>
      </c>
      <c r="I126" s="68" t="str">
        <f>"&gt; and &gt;="</f>
        <v>&gt; and &gt;=</v>
      </c>
      <c r="J126" s="83">
        <v>1000000</v>
      </c>
      <c r="K126" s="93" t="s">
        <v>53</v>
      </c>
      <c r="L126" s="83">
        <f>J126</f>
        <v>1000000</v>
      </c>
      <c r="N126" s="108" t="s">
        <v>1395</v>
      </c>
      <c r="O126" s="109">
        <v>75</v>
      </c>
      <c r="P126" s="169"/>
      <c r="Q126" s="170"/>
      <c r="U126" s="108"/>
      <c r="V126" s="109" t="s">
        <v>681</v>
      </c>
      <c r="W126" s="117"/>
    </row>
    <row r="127" spans="1:25" s="4" customFormat="1" x14ac:dyDescent="0.25">
      <c r="B127" s="6"/>
    </row>
    <row r="128" spans="1:25" s="4" customFormat="1" ht="15.75" thickBot="1" x14ac:dyDescent="0.3">
      <c r="E128" s="3" t="s">
        <v>303</v>
      </c>
      <c r="F128" s="6"/>
      <c r="G128" s="3" t="s">
        <v>303</v>
      </c>
      <c r="H128" s="6"/>
      <c r="I128" s="3" t="s">
        <v>303</v>
      </c>
      <c r="J128" s="6"/>
      <c r="K128" s="3" t="s">
        <v>303</v>
      </c>
      <c r="L128" s="6"/>
      <c r="N128" s="3" t="s">
        <v>303</v>
      </c>
      <c r="P128" s="2" t="s">
        <v>317</v>
      </c>
    </row>
    <row r="129" spans="1:23" s="4" customFormat="1" ht="15.75" thickBot="1" x14ac:dyDescent="0.3">
      <c r="B129" s="6"/>
      <c r="C129" s="54" t="s">
        <v>75</v>
      </c>
      <c r="E129" s="84">
        <f ca="1">COUNTIFS(Site_Sum_W,"&gt;0")</f>
        <v>157</v>
      </c>
      <c r="F129" s="87">
        <f ca="1">SUM(Site_Sum_W)</f>
        <v>498653020</v>
      </c>
      <c r="G129" s="12">
        <f ca="1">COUNTIFS(Site_Sum_W,"&gt;=" &amp;TEXT(H$126,"0"))</f>
        <v>39</v>
      </c>
      <c r="H129" s="13">
        <f ca="1">SUMIFS(Site_Sum_W,Site_Sum_W,"&gt;=" &amp;TEXT(H$126,"0"))</f>
        <v>304686400</v>
      </c>
      <c r="I129" s="12">
        <f ca="1">COUNTIFS(Site_Sum_W,"&lt;" &amp;TEXT(H$126,"0"),Site_Sum_W,"&gt;=" &amp;TEXT($J$126,"0"))</f>
        <v>102</v>
      </c>
      <c r="J129" s="13">
        <f ca="1">SUMIFS(Site_Sum_W,Site_Sum_W,"&lt;" &amp;TEXT(H$126,"0"),Site_Sum_W,"&gt;=" &amp;TEXT(J$126,"0"))</f>
        <v>180664220</v>
      </c>
      <c r="K129" s="12">
        <f ca="1">COUNTIFS(Site_Sum_W,"&lt;" &amp;TEXT(J$126,"0"),Site_Sum_W,"&gt;0")</f>
        <v>16</v>
      </c>
      <c r="L129" s="13">
        <f ca="1">SUMIFS(Site_Sum_W,Site_Sum_W,"&lt;" &amp;TEXT(J$126,"0"))</f>
        <v>13302400</v>
      </c>
      <c r="N129" s="12">
        <f t="array" aca="1" ref="N129" ca="1">COUNTIFS(Site_Sum_W,"&gt;0",CES3Pctl,"&gt;=" &amp;TEXT($O$126,"0"))</f>
        <v>10</v>
      </c>
      <c r="O129" s="13">
        <f t="array" aca="1" ref="O129" ca="1">SUMIFS(Site_Sum_W,CES3Pctl,"&gt;=" &amp;TEXT(O$126,"0"))</f>
        <v>25019300</v>
      </c>
      <c r="P129" s="12">
        <f t="array" aca="1" ref="P129" ca="1">COUNTIFS(Struc_W,"&gt;0",CES3Pctl,"&gt;=" &amp;TEXT($O$126,"0"))</f>
        <v>69</v>
      </c>
      <c r="Q129" s="13">
        <f t="array" aca="1" ref="Q129" ca="1">SUMIFS(Struc_W,CES3Pctl,"&gt;=" &amp;TEXT(Q$126,"0"))</f>
        <v>25019300</v>
      </c>
      <c r="U129" s="108" t="s">
        <v>682</v>
      </c>
      <c r="V129" s="109" t="s">
        <v>496</v>
      </c>
      <c r="W129" s="117" t="s">
        <v>684</v>
      </c>
    </row>
    <row r="130" spans="1:23" s="4" customFormat="1" ht="15.75" thickBot="1" x14ac:dyDescent="0.3">
      <c r="A130" s="110" t="s">
        <v>683</v>
      </c>
      <c r="B130" s="139" t="s">
        <v>1311</v>
      </c>
    </row>
    <row r="131" spans="1:23" s="4" customFormat="1" ht="15.75" thickBot="1" x14ac:dyDescent="0.3">
      <c r="A131" s="4">
        <f>A18</f>
        <v>92037</v>
      </c>
      <c r="B131" s="6" t="str">
        <f>B18</f>
        <v>S</v>
      </c>
      <c r="E131" s="84">
        <f t="shared" ref="E131:E162" ca="1" si="69">COUNTIFS(Site_Sum_W,"&gt;0",ZIP_5,$A131)</f>
        <v>4</v>
      </c>
      <c r="F131" s="92">
        <f t="shared" ref="F131:F162" ca="1" si="70">SUMIFS(Site_Sum_W,ZIP_5,$A131)</f>
        <v>7871000</v>
      </c>
      <c r="G131" s="12">
        <f t="shared" ref="G131:G162" ca="1" si="71">COUNTIFS(ZIP_5,$A131,Site_Sum_W,"&gt;=" &amp;TEXT(H$126,"0"))</f>
        <v>1</v>
      </c>
      <c r="H131" s="91">
        <f t="shared" ref="H131:H162" ca="1" si="72">SUMIFS(Site_Sum_W,ZIP_5,$A131,Site_Sum_W,"&gt;=" &amp;TEXT(H$126,"0"))</f>
        <v>4448000</v>
      </c>
      <c r="I131" s="12">
        <f t="shared" ref="I131:I162" ca="1" si="73">COUNTIFS(ZIP_5,$A131,Site_Sum_W,"&lt;" &amp;TEXT(H$126,"0"),Site_Sum_W,"&gt;=" &amp;TEXT($J$126,"0"))</f>
        <v>1</v>
      </c>
      <c r="J131" s="91">
        <f t="shared" ref="J131:J162" ca="1" si="74">SUMIFS(Site_Sum_W,ZIP_5,$A131,Site_Sum_W,"&lt;" &amp;TEXT(H$126,"0"),Site_Sum_W,"&gt;=" &amp;TEXT($J$126,"0"))</f>
        <v>1778000</v>
      </c>
      <c r="K131" s="12">
        <f ca="1">COUNTIFS(ZIP_5,$A131,Site_Sum_W,"&lt;"&amp;TEXT(L$126,"0"),Site_Sum_W,"&gt;0")</f>
        <v>2</v>
      </c>
      <c r="L131" s="91">
        <f t="shared" ref="L131:L162" ca="1" si="75">SUMIFS(Site_Sum_W,ZIP_5,$A131,Site_Sum_W,"&lt;" &amp;TEXT(L$126,"0"))</f>
        <v>1645000</v>
      </c>
      <c r="N131" s="12">
        <f t="array" aca="1" ref="N131" ca="1">COUNTIFS(ZIP_5,$A131,Site_Sum_W,"&gt;0",CES3Pctl,"&gt;=" &amp;TEXT($O$126,"0"))</f>
        <v>0</v>
      </c>
      <c r="O131" s="91">
        <f t="array" aca="1" ref="O131" ca="1">SUMIFS(Site_Sum_W,ZIP_5,$A131,CES3Pctl,"&gt;=" &amp;TEXT(O$126,"0"))</f>
        <v>0</v>
      </c>
      <c r="P131" s="12">
        <f t="array" aca="1" ref="P131" ca="1">COUNTIFS(ZIP_5,$A131,Struc_W,"&gt;0",CES3Pctl,"&gt;=" &amp;TEXT($O$126,"0"))</f>
        <v>0</v>
      </c>
      <c r="Q131" s="91">
        <f t="array" aca="1" ref="Q131" ca="1">SUMIFS(Struc_W,ZIP_5,$A131,CES3Pctl,"&gt;=" &amp;TEXT(Q$126,"0"))</f>
        <v>0</v>
      </c>
      <c r="U131" s="112">
        <v>1</v>
      </c>
      <c r="V131" s="113">
        <f ca="1">INDEX(ZIPTtlsTbl,MATCH($U131,$C$18:$C$121,0),1)</f>
        <v>92154</v>
      </c>
      <c r="W131" s="114">
        <f ca="1">INDEX(ZIPTtlsTbl,MATCH($U131,$C$18:$C$121,0),6)</f>
        <v>71757700</v>
      </c>
    </row>
    <row r="132" spans="1:23" s="4" customFormat="1" ht="15.75" thickBot="1" x14ac:dyDescent="0.3">
      <c r="A132" s="4">
        <f t="shared" ref="A132:B195" si="76">A19</f>
        <v>92093</v>
      </c>
      <c r="B132" s="6" t="str">
        <f t="shared" si="76"/>
        <v>S</v>
      </c>
      <c r="E132" s="84">
        <f t="shared" ca="1" si="69"/>
        <v>1</v>
      </c>
      <c r="F132" s="92">
        <f t="shared" ca="1" si="70"/>
        <v>17815000</v>
      </c>
      <c r="G132" s="12">
        <f t="shared" ca="1" si="71"/>
        <v>1</v>
      </c>
      <c r="H132" s="91">
        <f t="shared" ca="1" si="72"/>
        <v>17815000</v>
      </c>
      <c r="I132" s="12">
        <f t="shared" ca="1" si="73"/>
        <v>0</v>
      </c>
      <c r="J132" s="91">
        <f t="shared" ca="1" si="74"/>
        <v>0</v>
      </c>
      <c r="K132" s="12">
        <f t="shared" ref="K132:K162" ca="1" si="77">COUNTIFS(ZIP_5,$A132,Site_Sum_W,"&lt;"&amp;TEXT(L$126,"0"),Site_Sum_W,"&gt;0")</f>
        <v>0</v>
      </c>
      <c r="L132" s="91">
        <f t="shared" ca="1" si="75"/>
        <v>0</v>
      </c>
      <c r="N132" s="12">
        <f t="array" aca="1" ref="N132" ca="1">COUNTIFS(ZIP_5,$A132,Site_Sum_W,"&gt;0",CES3Pctl,"&gt;=" &amp;TEXT($O$126,"0"))</f>
        <v>0</v>
      </c>
      <c r="O132" s="91">
        <f t="array" aca="1" ref="O132" ca="1">SUMIFS(Site_Sum_W,ZIP_5,$A132,CES3Pctl,"&gt;=" &amp;TEXT(O$126,"0"))</f>
        <v>0</v>
      </c>
      <c r="P132" s="12">
        <f t="array" aca="1" ref="P132" ca="1">COUNTIFS(ZIP_5,$A132,Struc_W,"&gt;0",CES3Pctl,"&gt;=" &amp;TEXT($O$126,"0"))</f>
        <v>0</v>
      </c>
      <c r="Q132" s="91">
        <f t="array" aca="1" ref="Q132" ca="1">SUMIFS(Struc_W,ZIP_5,$A132,CES3Pctl,"&gt;=" &amp;TEXT(Q$126,"0"))</f>
        <v>0</v>
      </c>
      <c r="U132" s="115">
        <v>2</v>
      </c>
      <c r="V132" s="57">
        <f ca="1">INDEX(ZIPTtlsTbl,MATCH($U132,$C$18:$C$121,0),1)</f>
        <v>92108</v>
      </c>
      <c r="W132" s="89">
        <f ca="1">INDEX(ZIPTtlsTbl,MATCH($U132,$C$18:$C$121,0),6)</f>
        <v>51285500</v>
      </c>
    </row>
    <row r="133" spans="1:23" s="4" customFormat="1" ht="15.75" thickBot="1" x14ac:dyDescent="0.3">
      <c r="A133" s="4">
        <f t="shared" si="76"/>
        <v>92101</v>
      </c>
      <c r="B133" s="6" t="str">
        <f t="shared" si="76"/>
        <v>S</v>
      </c>
      <c r="E133" s="84">
        <f t="shared" ca="1" si="69"/>
        <v>9</v>
      </c>
      <c r="F133" s="92">
        <f t="shared" ca="1" si="70"/>
        <v>40418000</v>
      </c>
      <c r="G133" s="12">
        <f t="shared" ca="1" si="71"/>
        <v>3</v>
      </c>
      <c r="H133" s="91">
        <f t="shared" ca="1" si="72"/>
        <v>29799000</v>
      </c>
      <c r="I133" s="12">
        <f t="shared" ca="1" si="73"/>
        <v>6</v>
      </c>
      <c r="J133" s="91">
        <f t="shared" ca="1" si="74"/>
        <v>10619000</v>
      </c>
      <c r="K133" s="12">
        <f t="shared" ca="1" si="77"/>
        <v>0</v>
      </c>
      <c r="L133" s="91">
        <f t="shared" ca="1" si="75"/>
        <v>0</v>
      </c>
      <c r="N133" s="12">
        <f t="array" aca="1" ref="N133" ca="1">COUNTIFS(ZIP_5,$A133,Site_Sum_W,"&gt;0",CES3Pctl,"&gt;=" &amp;TEXT($O$126,"0"))</f>
        <v>0</v>
      </c>
      <c r="O133" s="91">
        <f t="array" aca="1" ref="O133" ca="1">SUMIFS(Site_Sum_W,ZIP_5,$A133,CES3Pctl,"&gt;=" &amp;TEXT(O$126,"0"))</f>
        <v>0</v>
      </c>
      <c r="P133" s="12">
        <f t="array" aca="1" ref="P133" ca="1">COUNTIFS(ZIP_5,$A133,Struc_W,"&gt;0",CES3Pctl,"&gt;=" &amp;TEXT($O$126,"0"))</f>
        <v>0</v>
      </c>
      <c r="Q133" s="91">
        <f t="array" aca="1" ref="Q133" ca="1">SUMIFS(Struc_W,ZIP_5,$A133,CES3Pctl,"&gt;=" &amp;TEXT(Q$126,"0"))</f>
        <v>0</v>
      </c>
      <c r="U133" s="115">
        <v>3</v>
      </c>
      <c r="V133" s="57">
        <f ca="1">INDEX(ZIPTtlsTbl,MATCH($U133,$C$18:$C$121,0),1)</f>
        <v>92145</v>
      </c>
      <c r="W133" s="89">
        <f ca="1">INDEX(ZIPTtlsTbl,MATCH($U133,$C$18:$C$121,0),6)</f>
        <v>48236200</v>
      </c>
    </row>
    <row r="134" spans="1:23" s="4" customFormat="1" ht="15.75" thickBot="1" x14ac:dyDescent="0.3">
      <c r="A134" s="4">
        <f t="shared" si="76"/>
        <v>92102</v>
      </c>
      <c r="B134" s="6" t="str">
        <f t="shared" si="76"/>
        <v>S</v>
      </c>
      <c r="E134" s="84">
        <f t="shared" ca="1" si="69"/>
        <v>3</v>
      </c>
      <c r="F134" s="92">
        <f t="shared" ca="1" si="70"/>
        <v>3739400</v>
      </c>
      <c r="G134" s="12">
        <f t="shared" ca="1" si="71"/>
        <v>0</v>
      </c>
      <c r="H134" s="91">
        <f t="shared" ca="1" si="72"/>
        <v>0</v>
      </c>
      <c r="I134" s="12">
        <f t="shared" ca="1" si="73"/>
        <v>3</v>
      </c>
      <c r="J134" s="91">
        <f t="shared" ca="1" si="74"/>
        <v>3739400</v>
      </c>
      <c r="K134" s="12">
        <f t="shared" ca="1" si="77"/>
        <v>0</v>
      </c>
      <c r="L134" s="91">
        <f t="shared" ca="1" si="75"/>
        <v>0</v>
      </c>
      <c r="N134" s="12">
        <f t="array" aca="1" ref="N134" ca="1">COUNTIFS(ZIP_5,$A134,Site_Sum_W,"&gt;0",CES3Pctl,"&gt;=" &amp;TEXT($O$126,"0"))</f>
        <v>1</v>
      </c>
      <c r="O134" s="91">
        <f t="array" aca="1" ref="O134" ca="1">SUMIFS(Site_Sum_W,ZIP_5,$A134,CES3Pctl,"&gt;=" &amp;TEXT(O$126,"0"))</f>
        <v>1044400</v>
      </c>
      <c r="P134" s="12">
        <f t="array" aca="1" ref="P134" ca="1">COUNTIFS(ZIP_5,$A134,Struc_W,"&gt;0",CES3Pctl,"&gt;=" &amp;TEXT($O$126,"0"))</f>
        <v>3</v>
      </c>
      <c r="Q134" s="91">
        <f t="array" aca="1" ref="Q134" ca="1">SUMIFS(Struc_W,ZIP_5,$A134,CES3Pctl,"&gt;=" &amp;TEXT(Q$126,"0"))</f>
        <v>1044400</v>
      </c>
      <c r="U134" s="115">
        <v>4</v>
      </c>
      <c r="V134" s="57">
        <f ca="1">INDEX(ZIPTtlsTbl,MATCH($U134,$C$18:$C$121,0),1)</f>
        <v>92101</v>
      </c>
      <c r="W134" s="89">
        <f ca="1">INDEX(ZIPTtlsTbl,MATCH($U134,$C$18:$C$121,0),6)</f>
        <v>40418000</v>
      </c>
    </row>
    <row r="135" spans="1:23" s="4" customFormat="1" ht="15.75" hidden="1" thickBot="1" x14ac:dyDescent="0.3">
      <c r="A135" s="4">
        <f t="shared" si="76"/>
        <v>92103</v>
      </c>
      <c r="B135" s="6">
        <f t="shared" si="76"/>
        <v>0</v>
      </c>
      <c r="E135" s="84">
        <f t="shared" ca="1" si="69"/>
        <v>0</v>
      </c>
      <c r="F135" s="92">
        <f t="shared" ca="1" si="70"/>
        <v>0</v>
      </c>
      <c r="G135" s="12">
        <f t="shared" ca="1" si="71"/>
        <v>0</v>
      </c>
      <c r="H135" s="91">
        <f t="shared" ca="1" si="72"/>
        <v>0</v>
      </c>
      <c r="I135" s="12">
        <f t="shared" ca="1" si="73"/>
        <v>0</v>
      </c>
      <c r="J135" s="91">
        <f t="shared" ca="1" si="74"/>
        <v>0</v>
      </c>
      <c r="K135" s="12">
        <f t="shared" ca="1" si="77"/>
        <v>0</v>
      </c>
      <c r="L135" s="91">
        <f t="shared" ca="1" si="75"/>
        <v>0</v>
      </c>
      <c r="N135" s="12">
        <f t="array" aca="1" ref="N135" ca="1">COUNTIFS(ZIP_5,$A135,Site_Sum_W,"&gt;0",CES3Pctl,"&gt;=" &amp;TEXT($O$126,"0"))</f>
        <v>0</v>
      </c>
      <c r="O135" s="91">
        <f t="array" aca="1" ref="O135" ca="1">SUMIFS(Site_Sum_W,ZIP_5,$A135,CES3Pctl,"&gt;=" &amp;TEXT(O$126,"0"))</f>
        <v>0</v>
      </c>
      <c r="P135" s="12">
        <f t="array" aca="1" ref="P135" ca="1">COUNTIFS(ZIP_5,$A135,Struc_W,"&gt;0",CES3Pctl,"&gt;=" &amp;TEXT($O$126,"0"))</f>
        <v>0</v>
      </c>
      <c r="Q135" s="91">
        <f t="array" aca="1" ref="Q135" ca="1">SUMIFS(Struc_W,ZIP_5,$A135,CES3Pctl,"&gt;=" &amp;TEXT(Q$126,"0"))</f>
        <v>0</v>
      </c>
      <c r="U135" s="82">
        <v>5</v>
      </c>
      <c r="V135" s="116">
        <f ca="1">INDEX(ZIPTtlsTbl,MATCH($U135,$C$18:$C$121,0),1)</f>
        <v>92127</v>
      </c>
      <c r="W135" s="90">
        <f ca="1">INDEX(ZIPTtlsTbl,MATCH($U135,$C$18:$C$121,0),6)</f>
        <v>27734000</v>
      </c>
    </row>
    <row r="136" spans="1:23" s="4" customFormat="1" ht="15.75" hidden="1" thickBot="1" x14ac:dyDescent="0.3">
      <c r="A136" s="4">
        <f t="shared" si="76"/>
        <v>92104</v>
      </c>
      <c r="B136" s="6" t="str">
        <f t="shared" si="76"/>
        <v>S</v>
      </c>
      <c r="E136" s="84">
        <f t="shared" ca="1" si="69"/>
        <v>0</v>
      </c>
      <c r="F136" s="92">
        <f t="shared" ca="1" si="70"/>
        <v>0</v>
      </c>
      <c r="G136" s="12">
        <f t="shared" ca="1" si="71"/>
        <v>0</v>
      </c>
      <c r="H136" s="91">
        <f t="shared" ca="1" si="72"/>
        <v>0</v>
      </c>
      <c r="I136" s="12">
        <f t="shared" ca="1" si="73"/>
        <v>0</v>
      </c>
      <c r="J136" s="91">
        <f t="shared" ca="1" si="74"/>
        <v>0</v>
      </c>
      <c r="K136" s="12">
        <f t="shared" ca="1" si="77"/>
        <v>0</v>
      </c>
      <c r="L136" s="91">
        <f t="shared" ca="1" si="75"/>
        <v>0</v>
      </c>
      <c r="N136" s="12">
        <f t="array" aca="1" ref="N136" ca="1">COUNTIFS(ZIP_5,$A136,Site_Sum_W,"&gt;0",CES3Pctl,"&gt;=" &amp;TEXT($O$126,"0"))</f>
        <v>0</v>
      </c>
      <c r="O136" s="91">
        <f t="array" aca="1" ref="O136" ca="1">SUMIFS(Site_Sum_W,ZIP_5,$A136,CES3Pctl,"&gt;=" &amp;TEXT(O$126,"0"))</f>
        <v>0</v>
      </c>
      <c r="P136" s="12">
        <f t="array" aca="1" ref="P136" ca="1">COUNTIFS(ZIP_5,$A136,Struc_W,"&gt;0",CES3Pctl,"&gt;=" &amp;TEXT($O$126,"0"))</f>
        <v>0</v>
      </c>
      <c r="Q136" s="91">
        <f t="array" aca="1" ref="Q136" ca="1">SUMIFS(Struc_W,ZIP_5,$A136,CES3Pctl,"&gt;=" &amp;TEXT(Q$126,"0"))</f>
        <v>0</v>
      </c>
    </row>
    <row r="137" spans="1:23" s="4" customFormat="1" ht="15.75" thickBot="1" x14ac:dyDescent="0.3">
      <c r="A137" s="4">
        <f t="shared" si="76"/>
        <v>92105</v>
      </c>
      <c r="B137" s="6" t="str">
        <f t="shared" si="76"/>
        <v>S</v>
      </c>
      <c r="E137" s="84">
        <f t="shared" ca="1" si="69"/>
        <v>1</v>
      </c>
      <c r="F137" s="92">
        <f t="shared" ca="1" si="70"/>
        <v>1547000</v>
      </c>
      <c r="G137" s="12">
        <f t="shared" ca="1" si="71"/>
        <v>0</v>
      </c>
      <c r="H137" s="91">
        <f t="shared" ca="1" si="72"/>
        <v>0</v>
      </c>
      <c r="I137" s="12">
        <f t="shared" ca="1" si="73"/>
        <v>1</v>
      </c>
      <c r="J137" s="91">
        <f t="shared" ca="1" si="74"/>
        <v>1547000</v>
      </c>
      <c r="K137" s="12">
        <f t="shared" ca="1" si="77"/>
        <v>0</v>
      </c>
      <c r="L137" s="91">
        <f t="shared" ca="1" si="75"/>
        <v>0</v>
      </c>
      <c r="N137" s="12">
        <f t="array" aca="1" ref="N137" ca="1">COUNTIFS(ZIP_5,$A137,Site_Sum_W,"&gt;0",CES3Pctl,"&gt;=" &amp;TEXT($O$126,"0"))</f>
        <v>0</v>
      </c>
      <c r="O137" s="91">
        <f t="array" aca="1" ref="O137" ca="1">SUMIFS(Site_Sum_W,ZIP_5,$A137,CES3Pctl,"&gt;=" &amp;TEXT(O$126,"0"))</f>
        <v>0</v>
      </c>
      <c r="P137" s="12">
        <f t="array" aca="1" ref="P137" ca="1">COUNTIFS(ZIP_5,$A137,Struc_W,"&gt;0",CES3Pctl,"&gt;=" &amp;TEXT($O$126,"0"))</f>
        <v>0</v>
      </c>
      <c r="Q137" s="91">
        <f t="array" aca="1" ref="Q137" ca="1">SUMIFS(Struc_W,ZIP_5,$A137,CES3Pctl,"&gt;=" &amp;TEXT(Q$126,"0"))</f>
        <v>0</v>
      </c>
      <c r="U137" s="82">
        <v>5</v>
      </c>
      <c r="V137" s="116">
        <f ca="1">INDEX(ZIPTtlsTbl,MATCH($U137,$C$18:$C$121,0),1)</f>
        <v>92127</v>
      </c>
      <c r="W137" s="90">
        <f ca="1">INDEX(ZIPTtlsTbl,MATCH($U137,$C$18:$C$121,0),6)</f>
        <v>27734000</v>
      </c>
    </row>
    <row r="138" spans="1:23" s="4" customFormat="1" ht="15.75" thickBot="1" x14ac:dyDescent="0.3">
      <c r="A138" s="4">
        <f t="shared" si="76"/>
        <v>92106</v>
      </c>
      <c r="B138" s="6" t="str">
        <f t="shared" si="76"/>
        <v>S</v>
      </c>
      <c r="E138" s="84">
        <f t="shared" ca="1" si="69"/>
        <v>1</v>
      </c>
      <c r="F138" s="92">
        <f t="shared" ca="1" si="70"/>
        <v>5306000</v>
      </c>
      <c r="G138" s="12">
        <f t="shared" ca="1" si="71"/>
        <v>1</v>
      </c>
      <c r="H138" s="91">
        <f t="shared" ca="1" si="72"/>
        <v>5306000</v>
      </c>
      <c r="I138" s="12">
        <f t="shared" ca="1" si="73"/>
        <v>0</v>
      </c>
      <c r="J138" s="91">
        <f t="shared" ca="1" si="74"/>
        <v>0</v>
      </c>
      <c r="K138" s="12">
        <f t="shared" ca="1" si="77"/>
        <v>0</v>
      </c>
      <c r="L138" s="91">
        <f t="shared" ca="1" si="75"/>
        <v>0</v>
      </c>
      <c r="N138" s="12">
        <f t="array" aca="1" ref="N138" ca="1">COUNTIFS(ZIP_5,$A138,Site_Sum_W,"&gt;0",CES3Pctl,"&gt;=" &amp;TEXT($O$126,"0"))</f>
        <v>0</v>
      </c>
      <c r="O138" s="91">
        <f t="array" aca="1" ref="O138" ca="1">SUMIFS(Site_Sum_W,ZIP_5,$A138,CES3Pctl,"&gt;=" &amp;TEXT(O$126,"0"))</f>
        <v>0</v>
      </c>
      <c r="P138" s="12">
        <f t="array" aca="1" ref="P138" ca="1">COUNTIFS(ZIP_5,$A138,Struc_W,"&gt;0",CES3Pctl,"&gt;=" &amp;TEXT($O$126,"0"))</f>
        <v>0</v>
      </c>
      <c r="Q138" s="91">
        <f t="array" aca="1" ref="Q138" ca="1">SUMIFS(Struc_W,ZIP_5,$A138,CES3Pctl,"&gt;=" &amp;TEXT(Q$126,"0"))</f>
        <v>0</v>
      </c>
    </row>
    <row r="139" spans="1:23" s="4" customFormat="1" ht="15.75" hidden="1" thickBot="1" x14ac:dyDescent="0.3">
      <c r="A139" s="4">
        <f t="shared" si="76"/>
        <v>92107</v>
      </c>
      <c r="B139" s="6" t="str">
        <f t="shared" si="76"/>
        <v>S</v>
      </c>
      <c r="E139" s="84">
        <f t="shared" ca="1" si="69"/>
        <v>0</v>
      </c>
      <c r="F139" s="92">
        <f t="shared" ca="1" si="70"/>
        <v>0</v>
      </c>
      <c r="G139" s="12">
        <f t="shared" ca="1" si="71"/>
        <v>0</v>
      </c>
      <c r="H139" s="91">
        <f t="shared" ca="1" si="72"/>
        <v>0</v>
      </c>
      <c r="I139" s="12">
        <f t="shared" ca="1" si="73"/>
        <v>0</v>
      </c>
      <c r="J139" s="91">
        <f t="shared" ca="1" si="74"/>
        <v>0</v>
      </c>
      <c r="K139" s="12">
        <f t="shared" ca="1" si="77"/>
        <v>0</v>
      </c>
      <c r="L139" s="91">
        <f t="shared" ca="1" si="75"/>
        <v>0</v>
      </c>
      <c r="N139" s="12">
        <f t="array" aca="1" ref="N139" ca="1">COUNTIFS(ZIP_5,$A139,Site_Sum_W,"&gt;0",CES3Pctl,"&gt;=" &amp;TEXT($O$126,"0"))</f>
        <v>0</v>
      </c>
      <c r="O139" s="91">
        <f t="array" aca="1" ref="O139" ca="1">SUMIFS(Site_Sum_W,ZIP_5,$A139,CES3Pctl,"&gt;=" &amp;TEXT(O$126,"0"))</f>
        <v>0</v>
      </c>
      <c r="P139" s="12">
        <f t="array" aca="1" ref="P139" ca="1">COUNTIFS(ZIP_5,$A139,Struc_W,"&gt;0",CES3Pctl,"&gt;=" &amp;TEXT($O$126,"0"))</f>
        <v>0</v>
      </c>
      <c r="Q139" s="91">
        <f t="array" aca="1" ref="Q139" ca="1">SUMIFS(Struc_W,ZIP_5,$A139,CES3Pctl,"&gt;=" &amp;TEXT(Q$126,"0"))</f>
        <v>0</v>
      </c>
    </row>
    <row r="140" spans="1:23" s="4" customFormat="1" ht="15.75" thickBot="1" x14ac:dyDescent="0.3">
      <c r="A140" s="4">
        <f t="shared" si="76"/>
        <v>92108</v>
      </c>
      <c r="B140" s="6" t="str">
        <f t="shared" si="76"/>
        <v>S</v>
      </c>
      <c r="E140" s="84">
        <f t="shared" ca="1" si="69"/>
        <v>8</v>
      </c>
      <c r="F140" s="92">
        <f t="shared" ca="1" si="70"/>
        <v>51285500</v>
      </c>
      <c r="G140" s="12">
        <f t="shared" ca="1" si="71"/>
        <v>3</v>
      </c>
      <c r="H140" s="91">
        <f t="shared" ca="1" si="72"/>
        <v>45010000</v>
      </c>
      <c r="I140" s="12">
        <f t="shared" ca="1" si="73"/>
        <v>3</v>
      </c>
      <c r="J140" s="91">
        <f t="shared" ca="1" si="74"/>
        <v>4581500</v>
      </c>
      <c r="K140" s="12">
        <f t="shared" ca="1" si="77"/>
        <v>2</v>
      </c>
      <c r="L140" s="91">
        <f t="shared" ca="1" si="75"/>
        <v>1694000</v>
      </c>
      <c r="N140" s="12">
        <f t="array" aca="1" ref="N140" ca="1">COUNTIFS(ZIP_5,$A140,Site_Sum_W,"&gt;0",CES3Pctl,"&gt;=" &amp;TEXT($O$126,"0"))</f>
        <v>0</v>
      </c>
      <c r="O140" s="91">
        <f t="array" aca="1" ref="O140" ca="1">SUMIFS(Site_Sum_W,ZIP_5,$A140,CES3Pctl,"&gt;=" &amp;TEXT(O$126,"0"))</f>
        <v>0</v>
      </c>
      <c r="P140" s="12">
        <f t="array" aca="1" ref="P140" ca="1">COUNTIFS(ZIP_5,$A140,Struc_W,"&gt;0",CES3Pctl,"&gt;=" &amp;TEXT($O$126,"0"))</f>
        <v>0</v>
      </c>
      <c r="Q140" s="91">
        <f t="array" aca="1" ref="Q140" ca="1">SUMIFS(Struc_W,ZIP_5,$A140,CES3Pctl,"&gt;=" &amp;TEXT(Q$126,"0"))</f>
        <v>0</v>
      </c>
    </row>
    <row r="141" spans="1:23" s="4" customFormat="1" ht="15.75" thickBot="1" x14ac:dyDescent="0.3">
      <c r="A141" s="4">
        <f t="shared" si="76"/>
        <v>92109</v>
      </c>
      <c r="B141" s="6" t="str">
        <f t="shared" si="76"/>
        <v>S</v>
      </c>
      <c r="E141" s="84">
        <f t="shared" ca="1" si="69"/>
        <v>8</v>
      </c>
      <c r="F141" s="92">
        <f t="shared" ca="1" si="70"/>
        <v>24542000</v>
      </c>
      <c r="G141" s="12">
        <f t="shared" ca="1" si="71"/>
        <v>1</v>
      </c>
      <c r="H141" s="91">
        <f t="shared" ca="1" si="72"/>
        <v>13972000</v>
      </c>
      <c r="I141" s="12">
        <f t="shared" ca="1" si="73"/>
        <v>7</v>
      </c>
      <c r="J141" s="91">
        <f t="shared" ca="1" si="74"/>
        <v>10570000</v>
      </c>
      <c r="K141" s="12">
        <f t="shared" ca="1" si="77"/>
        <v>0</v>
      </c>
      <c r="L141" s="91">
        <f t="shared" ca="1" si="75"/>
        <v>0</v>
      </c>
      <c r="N141" s="12">
        <f t="array" aca="1" ref="N141" ca="1">COUNTIFS(ZIP_5,$A141,Site_Sum_W,"&gt;0",CES3Pctl,"&gt;=" &amp;TEXT($O$126,"0"))</f>
        <v>0</v>
      </c>
      <c r="O141" s="91">
        <f t="array" aca="1" ref="O141" ca="1">SUMIFS(Site_Sum_W,ZIP_5,$A141,CES3Pctl,"&gt;=" &amp;TEXT(O$126,"0"))</f>
        <v>0</v>
      </c>
      <c r="P141" s="12">
        <f t="array" aca="1" ref="P141" ca="1">COUNTIFS(ZIP_5,$A141,Struc_W,"&gt;0",CES3Pctl,"&gt;=" &amp;TEXT($O$126,"0"))</f>
        <v>0</v>
      </c>
      <c r="Q141" s="91">
        <f t="array" aca="1" ref="Q141" ca="1">SUMIFS(Struc_W,ZIP_5,$A141,CES3Pctl,"&gt;=" &amp;TEXT(Q$126,"0"))</f>
        <v>0</v>
      </c>
    </row>
    <row r="142" spans="1:23" s="4" customFormat="1" ht="15.75" thickBot="1" x14ac:dyDescent="0.3">
      <c r="A142" s="4">
        <f t="shared" si="76"/>
        <v>92110</v>
      </c>
      <c r="B142" s="6" t="str">
        <f t="shared" si="76"/>
        <v>S</v>
      </c>
      <c r="E142" s="84">
        <f t="shared" ca="1" si="69"/>
        <v>8</v>
      </c>
      <c r="F142" s="92">
        <f t="shared" ca="1" si="70"/>
        <v>23151000</v>
      </c>
      <c r="G142" s="12">
        <f t="shared" ca="1" si="71"/>
        <v>3</v>
      </c>
      <c r="H142" s="91">
        <f t="shared" ca="1" si="72"/>
        <v>15920000</v>
      </c>
      <c r="I142" s="12">
        <f t="shared" ca="1" si="73"/>
        <v>5</v>
      </c>
      <c r="J142" s="91">
        <f t="shared" ca="1" si="74"/>
        <v>7231000</v>
      </c>
      <c r="K142" s="12">
        <f t="shared" ca="1" si="77"/>
        <v>0</v>
      </c>
      <c r="L142" s="91">
        <f t="shared" ca="1" si="75"/>
        <v>0</v>
      </c>
      <c r="N142" s="12">
        <f t="array" aca="1" ref="N142" ca="1">COUNTIFS(ZIP_5,$A142,Site_Sum_W,"&gt;0",CES3Pctl,"&gt;=" &amp;TEXT($O$126,"0"))</f>
        <v>0</v>
      </c>
      <c r="O142" s="91">
        <f t="array" aca="1" ref="O142" ca="1">SUMIFS(Site_Sum_W,ZIP_5,$A142,CES3Pctl,"&gt;=" &amp;TEXT(O$126,"0"))</f>
        <v>0</v>
      </c>
      <c r="P142" s="12">
        <f t="array" aca="1" ref="P142" ca="1">COUNTIFS(ZIP_5,$A142,Struc_W,"&gt;0",CES3Pctl,"&gt;=" &amp;TEXT($O$126,"0"))</f>
        <v>0</v>
      </c>
      <c r="Q142" s="91">
        <f t="array" aca="1" ref="Q142" ca="1">SUMIFS(Struc_W,ZIP_5,$A142,CES3Pctl,"&gt;=" &amp;TEXT(Q$126,"0"))</f>
        <v>0</v>
      </c>
    </row>
    <row r="143" spans="1:23" s="4" customFormat="1" ht="15.75" thickBot="1" x14ac:dyDescent="0.3">
      <c r="A143" s="4">
        <f t="shared" si="76"/>
        <v>92111</v>
      </c>
      <c r="B143" s="6" t="str">
        <f t="shared" si="76"/>
        <v>S</v>
      </c>
      <c r="E143" s="84">
        <f t="shared" ca="1" si="69"/>
        <v>9</v>
      </c>
      <c r="F143" s="92">
        <f t="shared" ca="1" si="70"/>
        <v>21858000</v>
      </c>
      <c r="G143" s="12">
        <f t="shared" ca="1" si="71"/>
        <v>1</v>
      </c>
      <c r="H143" s="91">
        <f t="shared" ca="1" si="72"/>
        <v>5265000</v>
      </c>
      <c r="I143" s="12">
        <f t="shared" ca="1" si="73"/>
        <v>8</v>
      </c>
      <c r="J143" s="91">
        <f t="shared" ca="1" si="74"/>
        <v>16593000</v>
      </c>
      <c r="K143" s="12">
        <f t="shared" ca="1" si="77"/>
        <v>0</v>
      </c>
      <c r="L143" s="91">
        <f t="shared" ca="1" si="75"/>
        <v>0</v>
      </c>
      <c r="N143" s="12">
        <f t="array" aca="1" ref="N143" ca="1">COUNTIFS(ZIP_5,$A143,Site_Sum_W,"&gt;0",CES3Pctl,"&gt;=" &amp;TEXT($O$126,"0"))</f>
        <v>0</v>
      </c>
      <c r="O143" s="91">
        <f t="array" aca="1" ref="O143" ca="1">SUMIFS(Site_Sum_W,ZIP_5,$A143,CES3Pctl,"&gt;=" &amp;TEXT(O$126,"0"))</f>
        <v>0</v>
      </c>
      <c r="P143" s="12">
        <f t="array" aca="1" ref="P143" ca="1">COUNTIFS(ZIP_5,$A143,Struc_W,"&gt;0",CES3Pctl,"&gt;=" &amp;TEXT($O$126,"0"))</f>
        <v>0</v>
      </c>
      <c r="Q143" s="91">
        <f t="array" aca="1" ref="Q143" ca="1">SUMIFS(Struc_W,ZIP_5,$A143,CES3Pctl,"&gt;=" &amp;TEXT(Q$126,"0"))</f>
        <v>0</v>
      </c>
    </row>
    <row r="144" spans="1:23" s="4" customFormat="1" ht="15.75" hidden="1" thickBot="1" x14ac:dyDescent="0.3">
      <c r="A144" s="4">
        <f t="shared" si="76"/>
        <v>92112</v>
      </c>
      <c r="B144" s="6">
        <f t="shared" si="76"/>
        <v>0</v>
      </c>
      <c r="E144" s="84">
        <f t="shared" ca="1" si="69"/>
        <v>0</v>
      </c>
      <c r="F144" s="92">
        <f t="shared" ca="1" si="70"/>
        <v>0</v>
      </c>
      <c r="G144" s="12">
        <f t="shared" ca="1" si="71"/>
        <v>0</v>
      </c>
      <c r="H144" s="91">
        <f t="shared" ca="1" si="72"/>
        <v>0</v>
      </c>
      <c r="I144" s="12">
        <f t="shared" ca="1" si="73"/>
        <v>0</v>
      </c>
      <c r="J144" s="91">
        <f t="shared" ca="1" si="74"/>
        <v>0</v>
      </c>
      <c r="K144" s="12">
        <f t="shared" ca="1" si="77"/>
        <v>0</v>
      </c>
      <c r="L144" s="91">
        <f t="shared" ca="1" si="75"/>
        <v>0</v>
      </c>
      <c r="N144" s="12">
        <f t="array" aca="1" ref="N144" ca="1">COUNTIFS(ZIP_5,$A144,Site_Sum_W,"&gt;0",CES3Pctl,"&gt;=" &amp;TEXT($O$126,"0"))</f>
        <v>0</v>
      </c>
      <c r="O144" s="91">
        <f t="array" aca="1" ref="O144" ca="1">SUMIFS(Site_Sum_W,ZIP_5,$A144,CES3Pctl,"&gt;=" &amp;TEXT(O$126,"0"))</f>
        <v>0</v>
      </c>
      <c r="P144" s="12">
        <f t="array" aca="1" ref="P144" ca="1">COUNTIFS(ZIP_5,$A144,Struc_W,"&gt;0",CES3Pctl,"&gt;=" &amp;TEXT($O$126,"0"))</f>
        <v>0</v>
      </c>
      <c r="Q144" s="91">
        <f t="array" aca="1" ref="Q144" ca="1">SUMIFS(Struc_W,ZIP_5,$A144,CES3Pctl,"&gt;=" &amp;TEXT(Q$126,"0"))</f>
        <v>0</v>
      </c>
    </row>
    <row r="145" spans="1:17" s="4" customFormat="1" ht="15.75" thickBot="1" x14ac:dyDescent="0.3">
      <c r="A145" s="4">
        <f t="shared" si="76"/>
        <v>92113</v>
      </c>
      <c r="B145" s="6" t="str">
        <f t="shared" si="76"/>
        <v>S</v>
      </c>
      <c r="E145" s="84">
        <f t="shared" ca="1" si="69"/>
        <v>6</v>
      </c>
      <c r="F145" s="92">
        <f t="shared" ca="1" si="70"/>
        <v>13284000</v>
      </c>
      <c r="G145" s="12">
        <f t="shared" ca="1" si="71"/>
        <v>1</v>
      </c>
      <c r="H145" s="91">
        <f t="shared" ca="1" si="72"/>
        <v>3996000</v>
      </c>
      <c r="I145" s="12">
        <f t="shared" ca="1" si="73"/>
        <v>4</v>
      </c>
      <c r="J145" s="91">
        <f t="shared" ca="1" si="74"/>
        <v>8399000</v>
      </c>
      <c r="K145" s="12">
        <f t="shared" ca="1" si="77"/>
        <v>1</v>
      </c>
      <c r="L145" s="91">
        <f t="shared" ca="1" si="75"/>
        <v>889000</v>
      </c>
      <c r="N145" s="12">
        <f t="array" aca="1" ref="N145" ca="1">COUNTIFS(ZIP_5,$A145,Site_Sum_W,"&gt;0",CES3Pctl,"&gt;=" &amp;TEXT($O$126,"0"))</f>
        <v>5</v>
      </c>
      <c r="O145" s="91">
        <f t="array" aca="1" ref="O145" ca="1">SUMIFS(Site_Sum_W,ZIP_5,$A145,CES3Pctl,"&gt;=" &amp;TEXT(O$126,"0"))</f>
        <v>11443000</v>
      </c>
      <c r="P145" s="12">
        <f t="array" aca="1" ref="P145" ca="1">COUNTIFS(ZIP_5,$A145,Struc_W,"&gt;0",CES3Pctl,"&gt;=" &amp;TEXT($O$126,"0"))</f>
        <v>28</v>
      </c>
      <c r="Q145" s="91">
        <f t="array" aca="1" ref="Q145" ca="1">SUMIFS(Struc_W,ZIP_5,$A145,CES3Pctl,"&gt;=" &amp;TEXT(Q$126,"0"))</f>
        <v>11443000</v>
      </c>
    </row>
    <row r="146" spans="1:17" s="4" customFormat="1" ht="15.75" hidden="1" thickBot="1" x14ac:dyDescent="0.3">
      <c r="A146" s="4">
        <f t="shared" si="76"/>
        <v>92114</v>
      </c>
      <c r="B146" s="6" t="str">
        <f t="shared" si="76"/>
        <v>S</v>
      </c>
      <c r="E146" s="84">
        <f t="shared" ca="1" si="69"/>
        <v>0</v>
      </c>
      <c r="F146" s="92">
        <f t="shared" ca="1" si="70"/>
        <v>0</v>
      </c>
      <c r="G146" s="12">
        <f t="shared" ca="1" si="71"/>
        <v>0</v>
      </c>
      <c r="H146" s="91">
        <f t="shared" ca="1" si="72"/>
        <v>0</v>
      </c>
      <c r="I146" s="12">
        <f t="shared" ca="1" si="73"/>
        <v>0</v>
      </c>
      <c r="J146" s="91">
        <f t="shared" ca="1" si="74"/>
        <v>0</v>
      </c>
      <c r="K146" s="12">
        <f t="shared" ca="1" si="77"/>
        <v>0</v>
      </c>
      <c r="L146" s="91">
        <f t="shared" ca="1" si="75"/>
        <v>0</v>
      </c>
      <c r="N146" s="12">
        <f t="array" aca="1" ref="N146" ca="1">COUNTIFS(ZIP_5,$A146,Site_Sum_W,"&gt;0",CES3Pctl,"&gt;=" &amp;TEXT($O$126,"0"))</f>
        <v>0</v>
      </c>
      <c r="O146" s="91">
        <f t="array" aca="1" ref="O146" ca="1">SUMIFS(Site_Sum_W,ZIP_5,$A146,CES3Pctl,"&gt;=" &amp;TEXT(O$126,"0"))</f>
        <v>0</v>
      </c>
      <c r="P146" s="12">
        <f t="array" aca="1" ref="P146" ca="1">COUNTIFS(ZIP_5,$A146,Struc_W,"&gt;0",CES3Pctl,"&gt;=" &amp;TEXT($O$126,"0"))</f>
        <v>0</v>
      </c>
      <c r="Q146" s="91">
        <f t="array" aca="1" ref="Q146" ca="1">SUMIFS(Struc_W,ZIP_5,$A146,CES3Pctl,"&gt;=" &amp;TEXT(Q$126,"0"))</f>
        <v>0</v>
      </c>
    </row>
    <row r="147" spans="1:17" s="4" customFormat="1" ht="15.75" thickBot="1" x14ac:dyDescent="0.3">
      <c r="A147" s="4">
        <f t="shared" si="76"/>
        <v>92115</v>
      </c>
      <c r="B147" s="6" t="str">
        <f t="shared" si="76"/>
        <v>S</v>
      </c>
      <c r="E147" s="84">
        <f t="shared" ca="1" si="69"/>
        <v>1</v>
      </c>
      <c r="F147" s="92">
        <f t="shared" ca="1" si="70"/>
        <v>6136000</v>
      </c>
      <c r="G147" s="12">
        <f t="shared" ca="1" si="71"/>
        <v>1</v>
      </c>
      <c r="H147" s="91">
        <f t="shared" ca="1" si="72"/>
        <v>6136000</v>
      </c>
      <c r="I147" s="12">
        <f t="shared" ca="1" si="73"/>
        <v>0</v>
      </c>
      <c r="J147" s="91">
        <f t="shared" ca="1" si="74"/>
        <v>0</v>
      </c>
      <c r="K147" s="12">
        <f t="shared" ca="1" si="77"/>
        <v>0</v>
      </c>
      <c r="L147" s="91">
        <f t="shared" ca="1" si="75"/>
        <v>0</v>
      </c>
      <c r="N147" s="12">
        <f t="array" aca="1" ref="N147" ca="1">COUNTIFS(ZIP_5,$A147,Site_Sum_W,"&gt;0",CES3Pctl,"&gt;=" &amp;TEXT($O$126,"0"))</f>
        <v>0</v>
      </c>
      <c r="O147" s="91">
        <f t="array" aca="1" ref="O147" ca="1">SUMIFS(Site_Sum_W,ZIP_5,$A147,CES3Pctl,"&gt;=" &amp;TEXT(O$126,"0"))</f>
        <v>0</v>
      </c>
      <c r="P147" s="12">
        <f t="array" aca="1" ref="P147" ca="1">COUNTIFS(ZIP_5,$A147,Struc_W,"&gt;0",CES3Pctl,"&gt;=" &amp;TEXT($O$126,"0"))</f>
        <v>0</v>
      </c>
      <c r="Q147" s="91">
        <f t="array" aca="1" ref="Q147" ca="1">SUMIFS(Struc_W,ZIP_5,$A147,CES3Pctl,"&gt;=" &amp;TEXT(Q$126,"0"))</f>
        <v>0</v>
      </c>
    </row>
    <row r="148" spans="1:17" s="4" customFormat="1" ht="15.75" hidden="1" thickBot="1" x14ac:dyDescent="0.3">
      <c r="A148" s="4">
        <f t="shared" si="76"/>
        <v>92116</v>
      </c>
      <c r="B148" s="6" t="str">
        <f t="shared" si="76"/>
        <v>S</v>
      </c>
      <c r="E148" s="84">
        <f t="shared" ca="1" si="69"/>
        <v>0</v>
      </c>
      <c r="F148" s="92">
        <f t="shared" ca="1" si="70"/>
        <v>0</v>
      </c>
      <c r="G148" s="12">
        <f t="shared" ca="1" si="71"/>
        <v>0</v>
      </c>
      <c r="H148" s="91">
        <f t="shared" ca="1" si="72"/>
        <v>0</v>
      </c>
      <c r="I148" s="12">
        <f t="shared" ca="1" si="73"/>
        <v>0</v>
      </c>
      <c r="J148" s="91">
        <f t="shared" ca="1" si="74"/>
        <v>0</v>
      </c>
      <c r="K148" s="12">
        <f t="shared" ca="1" si="77"/>
        <v>0</v>
      </c>
      <c r="L148" s="91">
        <f t="shared" ca="1" si="75"/>
        <v>0</v>
      </c>
      <c r="N148" s="12">
        <f t="array" aca="1" ref="N148" ca="1">COUNTIFS(ZIP_5,$A148,Site_Sum_W,"&gt;0",CES3Pctl,"&gt;=" &amp;TEXT($O$126,"0"))</f>
        <v>0</v>
      </c>
      <c r="O148" s="91">
        <f t="array" aca="1" ref="O148" ca="1">SUMIFS(Site_Sum_W,ZIP_5,$A148,CES3Pctl,"&gt;=" &amp;TEXT(O$126,"0"))</f>
        <v>0</v>
      </c>
      <c r="P148" s="12">
        <f t="array" aca="1" ref="P148" ca="1">COUNTIFS(ZIP_5,$A148,Struc_W,"&gt;0",CES3Pctl,"&gt;=" &amp;TEXT($O$126,"0"))</f>
        <v>0</v>
      </c>
      <c r="Q148" s="91">
        <f t="array" aca="1" ref="Q148" ca="1">SUMIFS(Struc_W,ZIP_5,$A148,CES3Pctl,"&gt;=" &amp;TEXT(Q$126,"0"))</f>
        <v>0</v>
      </c>
    </row>
    <row r="149" spans="1:17" s="4" customFormat="1" ht="15.75" thickBot="1" x14ac:dyDescent="0.3">
      <c r="A149" s="4">
        <f t="shared" si="76"/>
        <v>92117</v>
      </c>
      <c r="B149" s="6" t="str">
        <f t="shared" si="76"/>
        <v>S</v>
      </c>
      <c r="E149" s="84">
        <f t="shared" ca="1" si="69"/>
        <v>2</v>
      </c>
      <c r="F149" s="92">
        <f t="shared" ca="1" si="70"/>
        <v>3536400</v>
      </c>
      <c r="G149" s="12">
        <f t="shared" ca="1" si="71"/>
        <v>0</v>
      </c>
      <c r="H149" s="91">
        <f t="shared" ca="1" si="72"/>
        <v>0</v>
      </c>
      <c r="I149" s="12">
        <f t="shared" ca="1" si="73"/>
        <v>1</v>
      </c>
      <c r="J149" s="91">
        <f t="shared" ca="1" si="74"/>
        <v>2649500</v>
      </c>
      <c r="K149" s="12">
        <f t="shared" ca="1" si="77"/>
        <v>1</v>
      </c>
      <c r="L149" s="91">
        <f t="shared" ca="1" si="75"/>
        <v>886900</v>
      </c>
      <c r="N149" s="12">
        <f t="array" aca="1" ref="N149" ca="1">COUNTIFS(ZIP_5,$A149,Site_Sum_W,"&gt;0",CES3Pctl,"&gt;=" &amp;TEXT($O$126,"0"))</f>
        <v>0</v>
      </c>
      <c r="O149" s="91">
        <f t="array" aca="1" ref="O149" ca="1">SUMIFS(Site_Sum_W,ZIP_5,$A149,CES3Pctl,"&gt;=" &amp;TEXT(O$126,"0"))</f>
        <v>0</v>
      </c>
      <c r="P149" s="12">
        <f t="array" aca="1" ref="P149" ca="1">COUNTIFS(ZIP_5,$A149,Struc_W,"&gt;0",CES3Pctl,"&gt;=" &amp;TEXT($O$126,"0"))</f>
        <v>0</v>
      </c>
      <c r="Q149" s="91">
        <f t="array" aca="1" ref="Q149" ca="1">SUMIFS(Struc_W,ZIP_5,$A149,CES3Pctl,"&gt;=" &amp;TEXT(Q$126,"0"))</f>
        <v>0</v>
      </c>
    </row>
    <row r="150" spans="1:17" s="4" customFormat="1" ht="15.75" hidden="1" thickBot="1" x14ac:dyDescent="0.3">
      <c r="A150" s="4">
        <f t="shared" si="76"/>
        <v>92118</v>
      </c>
      <c r="B150" s="6">
        <f t="shared" si="76"/>
        <v>0</v>
      </c>
      <c r="E150" s="84">
        <f t="shared" ca="1" si="69"/>
        <v>0</v>
      </c>
      <c r="F150" s="92">
        <f t="shared" ca="1" si="70"/>
        <v>0</v>
      </c>
      <c r="G150" s="12">
        <f t="shared" ca="1" si="71"/>
        <v>0</v>
      </c>
      <c r="H150" s="91">
        <f t="shared" ca="1" si="72"/>
        <v>0</v>
      </c>
      <c r="I150" s="12">
        <f t="shared" ca="1" si="73"/>
        <v>0</v>
      </c>
      <c r="J150" s="91">
        <f t="shared" ca="1" si="74"/>
        <v>0</v>
      </c>
      <c r="K150" s="12">
        <f t="shared" ca="1" si="77"/>
        <v>0</v>
      </c>
      <c r="L150" s="91">
        <f t="shared" ca="1" si="75"/>
        <v>0</v>
      </c>
      <c r="N150" s="12">
        <f t="array" aca="1" ref="N150" ca="1">COUNTIFS(ZIP_5,$A150,Site_Sum_W,"&gt;0",CES3Pctl,"&gt;=" &amp;TEXT($O$126,"0"))</f>
        <v>0</v>
      </c>
      <c r="O150" s="91">
        <f t="array" aca="1" ref="O150" ca="1">SUMIFS(Site_Sum_W,ZIP_5,$A150,CES3Pctl,"&gt;=" &amp;TEXT(O$126,"0"))</f>
        <v>0</v>
      </c>
      <c r="P150" s="12">
        <f t="array" aca="1" ref="P150" ca="1">COUNTIFS(ZIP_5,$A150,Struc_W,"&gt;0",CES3Pctl,"&gt;=" &amp;TEXT($O$126,"0"))</f>
        <v>0</v>
      </c>
      <c r="Q150" s="91">
        <f t="array" aca="1" ref="Q150" ca="1">SUMIFS(Struc_W,ZIP_5,$A150,CES3Pctl,"&gt;=" &amp;TEXT(Q$126,"0"))</f>
        <v>0</v>
      </c>
    </row>
    <row r="151" spans="1:17" s="4" customFormat="1" ht="15.75" hidden="1" thickBot="1" x14ac:dyDescent="0.3">
      <c r="A151" s="4">
        <f t="shared" si="76"/>
        <v>92119</v>
      </c>
      <c r="B151" s="6" t="str">
        <f t="shared" si="76"/>
        <v>N</v>
      </c>
      <c r="E151" s="84">
        <f t="shared" ca="1" si="69"/>
        <v>0</v>
      </c>
      <c r="F151" s="92">
        <f t="shared" ca="1" si="70"/>
        <v>0</v>
      </c>
      <c r="G151" s="12">
        <f t="shared" ca="1" si="71"/>
        <v>0</v>
      </c>
      <c r="H151" s="91">
        <f t="shared" ca="1" si="72"/>
        <v>0</v>
      </c>
      <c r="I151" s="12">
        <f t="shared" ca="1" si="73"/>
        <v>0</v>
      </c>
      <c r="J151" s="91">
        <f t="shared" ca="1" si="74"/>
        <v>0</v>
      </c>
      <c r="K151" s="12">
        <f t="shared" ca="1" si="77"/>
        <v>0</v>
      </c>
      <c r="L151" s="91">
        <f t="shared" ca="1" si="75"/>
        <v>0</v>
      </c>
      <c r="N151" s="12">
        <f t="array" aca="1" ref="N151" ca="1">COUNTIFS(ZIP_5,$A151,Site_Sum_W,"&gt;0",CES3Pctl,"&gt;=" &amp;TEXT($O$126,"0"))</f>
        <v>0</v>
      </c>
      <c r="O151" s="91">
        <f t="array" aca="1" ref="O151" ca="1">SUMIFS(Site_Sum_W,ZIP_5,$A151,CES3Pctl,"&gt;=" &amp;TEXT(O$126,"0"))</f>
        <v>0</v>
      </c>
      <c r="P151" s="12">
        <f t="array" aca="1" ref="P151" ca="1">COUNTIFS(ZIP_5,$A151,Struc_W,"&gt;0",CES3Pctl,"&gt;=" &amp;TEXT($O$126,"0"))</f>
        <v>0</v>
      </c>
      <c r="Q151" s="91">
        <f t="array" aca="1" ref="Q151" ca="1">SUMIFS(Struc_W,ZIP_5,$A151,CES3Pctl,"&gt;=" &amp;TEXT(Q$126,"0"))</f>
        <v>0</v>
      </c>
    </row>
    <row r="152" spans="1:17" s="4" customFormat="1" ht="15.75" thickBot="1" x14ac:dyDescent="0.3">
      <c r="A152" s="4">
        <f t="shared" si="76"/>
        <v>92120</v>
      </c>
      <c r="B152" s="6" t="str">
        <f t="shared" si="76"/>
        <v>S</v>
      </c>
      <c r="E152" s="84">
        <f t="shared" ca="1" si="69"/>
        <v>4</v>
      </c>
      <c r="F152" s="92">
        <f t="shared" ca="1" si="70"/>
        <v>7997000</v>
      </c>
      <c r="G152" s="12">
        <f t="shared" ca="1" si="71"/>
        <v>1</v>
      </c>
      <c r="H152" s="91">
        <f t="shared" ca="1" si="72"/>
        <v>3613000</v>
      </c>
      <c r="I152" s="12">
        <f t="shared" ca="1" si="73"/>
        <v>3</v>
      </c>
      <c r="J152" s="91">
        <f t="shared" ca="1" si="74"/>
        <v>4384000</v>
      </c>
      <c r="K152" s="12">
        <f t="shared" ca="1" si="77"/>
        <v>0</v>
      </c>
      <c r="L152" s="91">
        <f t="shared" ca="1" si="75"/>
        <v>0</v>
      </c>
      <c r="N152" s="12">
        <f t="array" aca="1" ref="N152" ca="1">COUNTIFS(ZIP_5,$A152,Site_Sum_W,"&gt;0",CES3Pctl,"&gt;=" &amp;TEXT($O$126,"0"))</f>
        <v>0</v>
      </c>
      <c r="O152" s="91">
        <f t="array" aca="1" ref="O152" ca="1">SUMIFS(Site_Sum_W,ZIP_5,$A152,CES3Pctl,"&gt;=" &amp;TEXT(O$126,"0"))</f>
        <v>0</v>
      </c>
      <c r="P152" s="12">
        <f t="array" aca="1" ref="P152" ca="1">COUNTIFS(ZIP_5,$A152,Struc_W,"&gt;0",CES3Pctl,"&gt;=" &amp;TEXT($O$126,"0"))</f>
        <v>0</v>
      </c>
      <c r="Q152" s="91">
        <f t="array" aca="1" ref="Q152" ca="1">SUMIFS(Struc_W,ZIP_5,$A152,CES3Pctl,"&gt;=" &amp;TEXT(Q$126,"0"))</f>
        <v>0</v>
      </c>
    </row>
    <row r="153" spans="1:17" s="4" customFormat="1" ht="15.75" thickBot="1" x14ac:dyDescent="0.3">
      <c r="A153" s="4">
        <f t="shared" si="76"/>
        <v>92121</v>
      </c>
      <c r="B153" s="6" t="str">
        <f t="shared" si="76"/>
        <v>N</v>
      </c>
      <c r="E153" s="84">
        <f t="shared" ca="1" si="69"/>
        <v>12</v>
      </c>
      <c r="F153" s="92">
        <f t="shared" ca="1" si="70"/>
        <v>19421000</v>
      </c>
      <c r="G153" s="12">
        <f t="shared" ca="1" si="71"/>
        <v>0</v>
      </c>
      <c r="H153" s="91">
        <f t="shared" ca="1" si="72"/>
        <v>0</v>
      </c>
      <c r="I153" s="12">
        <f t="shared" ca="1" si="73"/>
        <v>12</v>
      </c>
      <c r="J153" s="91">
        <f t="shared" ca="1" si="74"/>
        <v>19421000</v>
      </c>
      <c r="K153" s="12">
        <f t="shared" ca="1" si="77"/>
        <v>0</v>
      </c>
      <c r="L153" s="91">
        <f t="shared" ca="1" si="75"/>
        <v>0</v>
      </c>
      <c r="N153" s="12">
        <f t="array" aca="1" ref="N153" ca="1">COUNTIFS(ZIP_5,$A153,Site_Sum_W,"&gt;0",CES3Pctl,"&gt;=" &amp;TEXT($O$126,"0"))</f>
        <v>0</v>
      </c>
      <c r="O153" s="91">
        <f t="array" aca="1" ref="O153" ca="1">SUMIFS(Site_Sum_W,ZIP_5,$A153,CES3Pctl,"&gt;=" &amp;TEXT(O$126,"0"))</f>
        <v>0</v>
      </c>
      <c r="P153" s="12">
        <f t="array" aca="1" ref="P153" ca="1">COUNTIFS(ZIP_5,$A153,Struc_W,"&gt;0",CES3Pctl,"&gt;=" &amp;TEXT($O$126,"0"))</f>
        <v>0</v>
      </c>
      <c r="Q153" s="91">
        <f t="array" aca="1" ref="Q153" ca="1">SUMIFS(Struc_W,ZIP_5,$A153,CES3Pctl,"&gt;=" &amp;TEXT(Q$126,"0"))</f>
        <v>0</v>
      </c>
    </row>
    <row r="154" spans="1:17" s="4" customFormat="1" ht="15.75" thickBot="1" x14ac:dyDescent="0.3">
      <c r="A154" s="4">
        <f t="shared" si="76"/>
        <v>92122</v>
      </c>
      <c r="B154" s="6" t="str">
        <f t="shared" si="76"/>
        <v>S</v>
      </c>
      <c r="E154" s="84">
        <f t="shared" ca="1" si="69"/>
        <v>2</v>
      </c>
      <c r="F154" s="92">
        <f t="shared" ca="1" si="70"/>
        <v>5789000</v>
      </c>
      <c r="G154" s="12">
        <f t="shared" ca="1" si="71"/>
        <v>1</v>
      </c>
      <c r="H154" s="91">
        <f t="shared" ca="1" si="72"/>
        <v>4893000</v>
      </c>
      <c r="I154" s="12">
        <f t="shared" ca="1" si="73"/>
        <v>0</v>
      </c>
      <c r="J154" s="91">
        <f t="shared" ca="1" si="74"/>
        <v>0</v>
      </c>
      <c r="K154" s="12">
        <f t="shared" ca="1" si="77"/>
        <v>1</v>
      </c>
      <c r="L154" s="91">
        <f t="shared" ca="1" si="75"/>
        <v>896000</v>
      </c>
      <c r="N154" s="12">
        <f t="array" aca="1" ref="N154" ca="1">COUNTIFS(ZIP_5,$A154,Site_Sum_W,"&gt;0",CES3Pctl,"&gt;=" &amp;TEXT($O$126,"0"))</f>
        <v>0</v>
      </c>
      <c r="O154" s="91">
        <f t="array" aca="1" ref="O154" ca="1">SUMIFS(Site_Sum_W,ZIP_5,$A154,CES3Pctl,"&gt;=" &amp;TEXT(O$126,"0"))</f>
        <v>0</v>
      </c>
      <c r="P154" s="12">
        <f t="array" aca="1" ref="P154" ca="1">COUNTIFS(ZIP_5,$A154,Struc_W,"&gt;0",CES3Pctl,"&gt;=" &amp;TEXT($O$126,"0"))</f>
        <v>0</v>
      </c>
      <c r="Q154" s="91">
        <f t="array" aca="1" ref="Q154" ca="1">SUMIFS(Struc_W,ZIP_5,$A154,CES3Pctl,"&gt;=" &amp;TEXT(Q$126,"0"))</f>
        <v>0</v>
      </c>
    </row>
    <row r="155" spans="1:17" s="4" customFormat="1" ht="15.75" thickBot="1" x14ac:dyDescent="0.3">
      <c r="A155" s="4">
        <f t="shared" si="76"/>
        <v>92123</v>
      </c>
      <c r="B155" s="6" t="str">
        <f t="shared" si="76"/>
        <v>S</v>
      </c>
      <c r="E155" s="84">
        <f t="shared" ca="1" si="69"/>
        <v>11</v>
      </c>
      <c r="F155" s="92">
        <f t="shared" ca="1" si="70"/>
        <v>24067420</v>
      </c>
      <c r="G155" s="12">
        <f t="shared" ca="1" si="71"/>
        <v>1</v>
      </c>
      <c r="H155" s="91">
        <f t="shared" ca="1" si="72"/>
        <v>3590000</v>
      </c>
      <c r="I155" s="12">
        <f t="shared" ca="1" si="73"/>
        <v>10</v>
      </c>
      <c r="J155" s="91">
        <f t="shared" ca="1" si="74"/>
        <v>20477420</v>
      </c>
      <c r="K155" s="12">
        <f t="shared" ca="1" si="77"/>
        <v>0</v>
      </c>
      <c r="L155" s="91">
        <f t="shared" ca="1" si="75"/>
        <v>0</v>
      </c>
      <c r="N155" s="12">
        <f t="array" aca="1" ref="N155" ca="1">COUNTIFS(ZIP_5,$A155,Site_Sum_W,"&gt;0",CES3Pctl,"&gt;=" &amp;TEXT($O$126,"0"))</f>
        <v>0</v>
      </c>
      <c r="O155" s="91">
        <f t="array" aca="1" ref="O155" ca="1">SUMIFS(Site_Sum_W,ZIP_5,$A155,CES3Pctl,"&gt;=" &amp;TEXT(O$126,"0"))</f>
        <v>0</v>
      </c>
      <c r="P155" s="12">
        <f t="array" aca="1" ref="P155" ca="1">COUNTIFS(ZIP_5,$A155,Struc_W,"&gt;0",CES3Pctl,"&gt;=" &amp;TEXT($O$126,"0"))</f>
        <v>0</v>
      </c>
      <c r="Q155" s="91">
        <f t="array" aca="1" ref="Q155" ca="1">SUMIFS(Struc_W,ZIP_5,$A155,CES3Pctl,"&gt;=" &amp;TEXT(Q$126,"0"))</f>
        <v>0</v>
      </c>
    </row>
    <row r="156" spans="1:17" s="4" customFormat="1" ht="15.75" hidden="1" thickBot="1" x14ac:dyDescent="0.3">
      <c r="A156" s="4">
        <f t="shared" si="76"/>
        <v>92124</v>
      </c>
      <c r="B156" s="6">
        <f t="shared" si="76"/>
        <v>0</v>
      </c>
      <c r="E156" s="84">
        <f t="shared" ca="1" si="69"/>
        <v>0</v>
      </c>
      <c r="F156" s="92">
        <f t="shared" ca="1" si="70"/>
        <v>0</v>
      </c>
      <c r="G156" s="12">
        <f t="shared" ca="1" si="71"/>
        <v>0</v>
      </c>
      <c r="H156" s="91">
        <f t="shared" ca="1" si="72"/>
        <v>0</v>
      </c>
      <c r="I156" s="12">
        <f t="shared" ca="1" si="73"/>
        <v>0</v>
      </c>
      <c r="J156" s="91">
        <f t="shared" ca="1" si="74"/>
        <v>0</v>
      </c>
      <c r="K156" s="12">
        <f t="shared" ca="1" si="77"/>
        <v>0</v>
      </c>
      <c r="L156" s="91">
        <f t="shared" ca="1" si="75"/>
        <v>0</v>
      </c>
      <c r="N156" s="12">
        <f t="array" aca="1" ref="N156" ca="1">COUNTIFS(ZIP_5,$A156,Site_Sum_W,"&gt;0",CES3Pctl,"&gt;=" &amp;TEXT($O$126,"0"))</f>
        <v>0</v>
      </c>
      <c r="O156" s="91">
        <f t="array" aca="1" ref="O156" ca="1">SUMIFS(Site_Sum_W,ZIP_5,$A156,CES3Pctl,"&gt;=" &amp;TEXT(O$126,"0"))</f>
        <v>0</v>
      </c>
      <c r="P156" s="12">
        <f t="array" aca="1" ref="P156" ca="1">COUNTIFS(ZIP_5,$A156,Struc_W,"&gt;0",CES3Pctl,"&gt;=" &amp;TEXT($O$126,"0"))</f>
        <v>0</v>
      </c>
      <c r="Q156" s="91">
        <f t="array" aca="1" ref="Q156" ca="1">SUMIFS(Struc_W,ZIP_5,$A156,CES3Pctl,"&gt;=" &amp;TEXT(Q$126,"0"))</f>
        <v>0</v>
      </c>
    </row>
    <row r="157" spans="1:17" s="4" customFormat="1" ht="15.75" hidden="1" thickBot="1" x14ac:dyDescent="0.3">
      <c r="A157" s="58">
        <f t="shared" si="76"/>
        <v>92125</v>
      </c>
      <c r="B157" s="6">
        <f t="shared" si="76"/>
        <v>0</v>
      </c>
      <c r="E157" s="84">
        <f t="shared" ca="1" si="69"/>
        <v>0</v>
      </c>
      <c r="F157" s="92">
        <f t="shared" ca="1" si="70"/>
        <v>0</v>
      </c>
      <c r="G157" s="12">
        <f t="shared" ca="1" si="71"/>
        <v>0</v>
      </c>
      <c r="H157" s="91">
        <f t="shared" ca="1" si="72"/>
        <v>0</v>
      </c>
      <c r="I157" s="12">
        <f t="shared" ca="1" si="73"/>
        <v>0</v>
      </c>
      <c r="J157" s="91">
        <f t="shared" ca="1" si="74"/>
        <v>0</v>
      </c>
      <c r="K157" s="12">
        <f t="shared" ca="1" si="77"/>
        <v>0</v>
      </c>
      <c r="L157" s="91">
        <f t="shared" ca="1" si="75"/>
        <v>0</v>
      </c>
      <c r="N157" s="12">
        <f t="array" aca="1" ref="N157" ca="1">COUNTIFS(ZIP_5,$A157,Site_Sum_W,"&gt;0",CES3Pctl,"&gt;=" &amp;TEXT($O$126,"0"))</f>
        <v>0</v>
      </c>
      <c r="O157" s="91">
        <f t="array" aca="1" ref="O157" ca="1">SUMIFS(Site_Sum_W,ZIP_5,$A157,CES3Pctl,"&gt;=" &amp;TEXT(O$126,"0"))</f>
        <v>0</v>
      </c>
      <c r="P157" s="12">
        <f t="array" aca="1" ref="P157" ca="1">COUNTIFS(ZIP_5,$A157,Struc_W,"&gt;0",CES3Pctl,"&gt;=" &amp;TEXT($O$126,"0"))</f>
        <v>0</v>
      </c>
      <c r="Q157" s="91">
        <f t="array" aca="1" ref="Q157" ca="1">SUMIFS(Struc_W,ZIP_5,$A157,CES3Pctl,"&gt;=" &amp;TEXT(Q$126,"0"))</f>
        <v>0</v>
      </c>
    </row>
    <row r="158" spans="1:17" s="4" customFormat="1" ht="15.75" thickBot="1" x14ac:dyDescent="0.3">
      <c r="A158" s="4">
        <f t="shared" si="76"/>
        <v>92126</v>
      </c>
      <c r="B158" s="6" t="str">
        <f t="shared" si="76"/>
        <v>N</v>
      </c>
      <c r="E158" s="84">
        <f t="shared" ca="1" si="69"/>
        <v>4</v>
      </c>
      <c r="F158" s="92">
        <f t="shared" ca="1" si="70"/>
        <v>12082000</v>
      </c>
      <c r="G158" s="12">
        <f t="shared" ca="1" si="71"/>
        <v>2</v>
      </c>
      <c r="H158" s="91">
        <f t="shared" ca="1" si="72"/>
        <v>8736000</v>
      </c>
      <c r="I158" s="12">
        <f t="shared" ca="1" si="73"/>
        <v>1</v>
      </c>
      <c r="J158" s="91">
        <f t="shared" ca="1" si="74"/>
        <v>2436000</v>
      </c>
      <c r="K158" s="12">
        <f t="shared" ca="1" si="77"/>
        <v>1</v>
      </c>
      <c r="L158" s="91">
        <f t="shared" ca="1" si="75"/>
        <v>910000</v>
      </c>
      <c r="N158" s="12">
        <f t="array" aca="1" ref="N158" ca="1">COUNTIFS(ZIP_5,$A158,Site_Sum_W,"&gt;0",CES3Pctl,"&gt;=" &amp;TEXT($O$126,"0"))</f>
        <v>0</v>
      </c>
      <c r="O158" s="91">
        <f t="array" aca="1" ref="O158" ca="1">SUMIFS(Site_Sum_W,ZIP_5,$A158,CES3Pctl,"&gt;=" &amp;TEXT(O$126,"0"))</f>
        <v>0</v>
      </c>
      <c r="P158" s="12">
        <f t="array" aca="1" ref="P158" ca="1">COUNTIFS(ZIP_5,$A158,Struc_W,"&gt;0",CES3Pctl,"&gt;=" &amp;TEXT($O$126,"0"))</f>
        <v>0</v>
      </c>
      <c r="Q158" s="91">
        <f t="array" aca="1" ref="Q158" ca="1">SUMIFS(Struc_W,ZIP_5,$A158,CES3Pctl,"&gt;=" &amp;TEXT(Q$126,"0"))</f>
        <v>0</v>
      </c>
    </row>
    <row r="159" spans="1:17" s="4" customFormat="1" ht="15.75" thickBot="1" x14ac:dyDescent="0.3">
      <c r="A159" s="4">
        <f t="shared" si="76"/>
        <v>92127</v>
      </c>
      <c r="B159" s="6" t="str">
        <f t="shared" si="76"/>
        <v>N</v>
      </c>
      <c r="E159" s="84">
        <f t="shared" ca="1" si="69"/>
        <v>11</v>
      </c>
      <c r="F159" s="92">
        <f t="shared" ca="1" si="70"/>
        <v>27734000</v>
      </c>
      <c r="G159" s="12">
        <f t="shared" ca="1" si="71"/>
        <v>3</v>
      </c>
      <c r="H159" s="91">
        <f t="shared" ca="1" si="72"/>
        <v>12219000</v>
      </c>
      <c r="I159" s="12">
        <f t="shared" ca="1" si="73"/>
        <v>8</v>
      </c>
      <c r="J159" s="91">
        <f t="shared" ca="1" si="74"/>
        <v>15515000</v>
      </c>
      <c r="K159" s="12">
        <f t="shared" ca="1" si="77"/>
        <v>0</v>
      </c>
      <c r="L159" s="91">
        <f t="shared" ca="1" si="75"/>
        <v>0</v>
      </c>
      <c r="N159" s="12">
        <f t="array" aca="1" ref="N159" ca="1">COUNTIFS(ZIP_5,$A159,Site_Sum_W,"&gt;0",CES3Pctl,"&gt;=" &amp;TEXT($O$126,"0"))</f>
        <v>0</v>
      </c>
      <c r="O159" s="91">
        <f t="array" aca="1" ref="O159" ca="1">SUMIFS(Site_Sum_W,ZIP_5,$A159,CES3Pctl,"&gt;=" &amp;TEXT(O$126,"0"))</f>
        <v>0</v>
      </c>
      <c r="P159" s="12">
        <f t="array" aca="1" ref="P159" ca="1">COUNTIFS(ZIP_5,$A159,Struc_W,"&gt;0",CES3Pctl,"&gt;=" &amp;TEXT($O$126,"0"))</f>
        <v>0</v>
      </c>
      <c r="Q159" s="91">
        <f t="array" aca="1" ref="Q159" ca="1">SUMIFS(Struc_W,ZIP_5,$A159,CES3Pctl,"&gt;=" &amp;TEXT(Q$126,"0"))</f>
        <v>0</v>
      </c>
    </row>
    <row r="160" spans="1:17" s="4" customFormat="1" ht="15.75" thickBot="1" x14ac:dyDescent="0.3">
      <c r="A160" s="4">
        <f t="shared" si="76"/>
        <v>92128</v>
      </c>
      <c r="B160" s="6" t="str">
        <f t="shared" si="76"/>
        <v>N</v>
      </c>
      <c r="E160" s="84">
        <f t="shared" ca="1" si="69"/>
        <v>5</v>
      </c>
      <c r="F160" s="92">
        <f t="shared" ca="1" si="70"/>
        <v>12654000</v>
      </c>
      <c r="G160" s="12">
        <f t="shared" ca="1" si="71"/>
        <v>1</v>
      </c>
      <c r="H160" s="91">
        <f t="shared" ca="1" si="72"/>
        <v>6153000</v>
      </c>
      <c r="I160" s="12">
        <f t="shared" ca="1" si="73"/>
        <v>3</v>
      </c>
      <c r="J160" s="91">
        <f t="shared" ca="1" si="74"/>
        <v>5521000</v>
      </c>
      <c r="K160" s="12">
        <f t="shared" ca="1" si="77"/>
        <v>1</v>
      </c>
      <c r="L160" s="91">
        <f t="shared" ca="1" si="75"/>
        <v>980000</v>
      </c>
      <c r="N160" s="12">
        <f t="array" aca="1" ref="N160" ca="1">COUNTIFS(ZIP_5,$A160,Site_Sum_W,"&gt;0",CES3Pctl,"&gt;=" &amp;TEXT($O$126,"0"))</f>
        <v>0</v>
      </c>
      <c r="O160" s="91">
        <f t="array" aca="1" ref="O160" ca="1">SUMIFS(Site_Sum_W,ZIP_5,$A160,CES3Pctl,"&gt;=" &amp;TEXT(O$126,"0"))</f>
        <v>0</v>
      </c>
      <c r="P160" s="12">
        <f t="array" aca="1" ref="P160" ca="1">COUNTIFS(ZIP_5,$A160,Struc_W,"&gt;0",CES3Pctl,"&gt;=" &amp;TEXT($O$126,"0"))</f>
        <v>0</v>
      </c>
      <c r="Q160" s="91">
        <f t="array" aca="1" ref="Q160" ca="1">SUMIFS(Struc_W,ZIP_5,$A160,CES3Pctl,"&gt;=" &amp;TEXT(Q$126,"0"))</f>
        <v>0</v>
      </c>
    </row>
    <row r="161" spans="1:17" s="4" customFormat="1" ht="15.75" thickBot="1" x14ac:dyDescent="0.3">
      <c r="A161" s="4">
        <f t="shared" si="76"/>
        <v>92129</v>
      </c>
      <c r="B161" s="6" t="str">
        <f t="shared" si="76"/>
        <v>N</v>
      </c>
      <c r="E161" s="84">
        <f t="shared" ca="1" si="69"/>
        <v>4</v>
      </c>
      <c r="F161" s="92">
        <f t="shared" ca="1" si="70"/>
        <v>5278000</v>
      </c>
      <c r="G161" s="12">
        <f t="shared" ca="1" si="71"/>
        <v>0</v>
      </c>
      <c r="H161" s="91">
        <f t="shared" ca="1" si="72"/>
        <v>0</v>
      </c>
      <c r="I161" s="12">
        <f t="shared" ca="1" si="73"/>
        <v>4</v>
      </c>
      <c r="J161" s="91">
        <f t="shared" ca="1" si="74"/>
        <v>5278000</v>
      </c>
      <c r="K161" s="12">
        <f t="shared" ca="1" si="77"/>
        <v>0</v>
      </c>
      <c r="L161" s="91">
        <f t="shared" ca="1" si="75"/>
        <v>0</v>
      </c>
      <c r="N161" s="12">
        <f t="array" aca="1" ref="N161" ca="1">COUNTIFS(ZIP_5,$A161,Site_Sum_W,"&gt;0",CES3Pctl,"&gt;=" &amp;TEXT($O$126,"0"))</f>
        <v>0</v>
      </c>
      <c r="O161" s="91">
        <f t="array" aca="1" ref="O161" ca="1">SUMIFS(Site_Sum_W,ZIP_5,$A161,CES3Pctl,"&gt;=" &amp;TEXT(O$126,"0"))</f>
        <v>0</v>
      </c>
      <c r="P161" s="12">
        <f t="array" aca="1" ref="P161" ca="1">COUNTIFS(ZIP_5,$A161,Struc_W,"&gt;0",CES3Pctl,"&gt;=" &amp;TEXT($O$126,"0"))</f>
        <v>0</v>
      </c>
      <c r="Q161" s="91">
        <f t="array" aca="1" ref="Q161" ca="1">SUMIFS(Struc_W,ZIP_5,$A161,CES3Pctl,"&gt;=" &amp;TEXT(Q$126,"0"))</f>
        <v>0</v>
      </c>
    </row>
    <row r="162" spans="1:17" s="4" customFormat="1" ht="15.75" thickBot="1" x14ac:dyDescent="0.3">
      <c r="A162" s="4">
        <f t="shared" si="76"/>
        <v>92130</v>
      </c>
      <c r="B162" s="6" t="str">
        <f t="shared" si="76"/>
        <v>N</v>
      </c>
      <c r="E162" s="84">
        <f t="shared" ca="1" si="69"/>
        <v>5</v>
      </c>
      <c r="F162" s="92">
        <f t="shared" ca="1" si="70"/>
        <v>10451000</v>
      </c>
      <c r="G162" s="12">
        <f t="shared" ca="1" si="71"/>
        <v>0</v>
      </c>
      <c r="H162" s="91">
        <f t="shared" ca="1" si="72"/>
        <v>0</v>
      </c>
      <c r="I162" s="12">
        <f t="shared" ca="1" si="73"/>
        <v>5</v>
      </c>
      <c r="J162" s="91">
        <f t="shared" ca="1" si="74"/>
        <v>10451000</v>
      </c>
      <c r="K162" s="12">
        <f t="shared" ca="1" si="77"/>
        <v>0</v>
      </c>
      <c r="L162" s="91">
        <f t="shared" ca="1" si="75"/>
        <v>0</v>
      </c>
      <c r="N162" s="12">
        <f t="array" aca="1" ref="N162" ca="1">COUNTIFS(ZIP_5,$A162,Site_Sum_W,"&gt;0",CES3Pctl,"&gt;=" &amp;TEXT($O$126,"0"))</f>
        <v>0</v>
      </c>
      <c r="O162" s="91">
        <f t="array" aca="1" ref="O162" ca="1">SUMIFS(Site_Sum_W,ZIP_5,$A162,CES3Pctl,"&gt;=" &amp;TEXT(O$126,"0"))</f>
        <v>0</v>
      </c>
      <c r="P162" s="12">
        <f t="array" aca="1" ref="P162" ca="1">COUNTIFS(ZIP_5,$A162,Struc_W,"&gt;0",CES3Pctl,"&gt;=" &amp;TEXT($O$126,"0"))</f>
        <v>0</v>
      </c>
      <c r="Q162" s="91">
        <f t="array" aca="1" ref="Q162" ca="1">SUMIFS(Struc_W,ZIP_5,$A162,CES3Pctl,"&gt;=" &amp;TEXT(Q$126,"0"))</f>
        <v>0</v>
      </c>
    </row>
    <row r="163" spans="1:17" s="4" customFormat="1" ht="15.75" thickBot="1" x14ac:dyDescent="0.3">
      <c r="A163" s="4">
        <f t="shared" si="76"/>
        <v>92131</v>
      </c>
      <c r="B163" s="6" t="str">
        <f t="shared" si="76"/>
        <v>N</v>
      </c>
      <c r="E163" s="84">
        <f t="shared" ref="E163:E194" ca="1" si="78">COUNTIFS(Site_Sum_W,"&gt;0",ZIP_5,$A163)</f>
        <v>1</v>
      </c>
      <c r="F163" s="92">
        <f t="shared" ref="F163:F194" ca="1" si="79">SUMIFS(Site_Sum_W,ZIP_5,$A163)</f>
        <v>1778000</v>
      </c>
      <c r="G163" s="12">
        <f t="shared" ref="G163:G194" ca="1" si="80">COUNTIFS(ZIP_5,$A163,Site_Sum_W,"&gt;=" &amp;TEXT(H$126,"0"))</f>
        <v>0</v>
      </c>
      <c r="H163" s="91">
        <f t="shared" ref="H163:H194" ca="1" si="81">SUMIFS(Site_Sum_W,ZIP_5,$A163,Site_Sum_W,"&gt;=" &amp;TEXT(H$126,"0"))</f>
        <v>0</v>
      </c>
      <c r="I163" s="12">
        <f t="shared" ref="I163:I194" ca="1" si="82">COUNTIFS(ZIP_5,$A163,Site_Sum_W,"&lt;" &amp;TEXT(H$126,"0"),Site_Sum_W,"&gt;=" &amp;TEXT($J$126,"0"))</f>
        <v>1</v>
      </c>
      <c r="J163" s="91">
        <f t="shared" ref="J163:J194" ca="1" si="83">SUMIFS(Site_Sum_W,ZIP_5,$A163,Site_Sum_W,"&lt;" &amp;TEXT(H$126,"0"),Site_Sum_W,"&gt;=" &amp;TEXT($J$126,"0"))</f>
        <v>1778000</v>
      </c>
      <c r="K163" s="12">
        <f t="shared" ref="K163:K194" ca="1" si="84">COUNTIFS(ZIP_5,$A163,Site_Sum_W,"&lt;"&amp;TEXT(L$126,"0"),Site_Sum_W,"&gt;0")</f>
        <v>0</v>
      </c>
      <c r="L163" s="91">
        <f t="shared" ref="L163:L194" ca="1" si="85">SUMIFS(Site_Sum_W,ZIP_5,$A163,Site_Sum_W,"&lt;" &amp;TEXT(L$126,"0"))</f>
        <v>0</v>
      </c>
      <c r="N163" s="12">
        <f t="array" aca="1" ref="N163" ca="1">COUNTIFS(ZIP_5,$A163,Site_Sum_W,"&gt;0",CES3Pctl,"&gt;=" &amp;TEXT($O$126,"0"))</f>
        <v>0</v>
      </c>
      <c r="O163" s="91">
        <f t="array" aca="1" ref="O163" ca="1">SUMIFS(Site_Sum_W,ZIP_5,$A163,CES3Pctl,"&gt;=" &amp;TEXT(O$126,"0"))</f>
        <v>0</v>
      </c>
      <c r="P163" s="12">
        <f t="array" aca="1" ref="P163" ca="1">COUNTIFS(ZIP_5,$A163,Struc_W,"&gt;0",CES3Pctl,"&gt;=" &amp;TEXT($O$126,"0"))</f>
        <v>0</v>
      </c>
      <c r="Q163" s="91">
        <f t="array" aca="1" ref="Q163" ca="1">SUMIFS(Struc_W,ZIP_5,$A163,CES3Pctl,"&gt;=" &amp;TEXT(Q$126,"0"))</f>
        <v>0</v>
      </c>
    </row>
    <row r="164" spans="1:17" s="4" customFormat="1" ht="15.75" hidden="1" thickBot="1" x14ac:dyDescent="0.3">
      <c r="A164" s="4">
        <f t="shared" si="76"/>
        <v>92132</v>
      </c>
      <c r="B164" s="6">
        <f t="shared" si="76"/>
        <v>0</v>
      </c>
      <c r="E164" s="84">
        <f t="shared" ca="1" si="78"/>
        <v>0</v>
      </c>
      <c r="F164" s="92">
        <f t="shared" ca="1" si="79"/>
        <v>0</v>
      </c>
      <c r="G164" s="12">
        <f t="shared" ca="1" si="80"/>
        <v>0</v>
      </c>
      <c r="H164" s="91">
        <f t="shared" ca="1" si="81"/>
        <v>0</v>
      </c>
      <c r="I164" s="12">
        <f t="shared" ca="1" si="82"/>
        <v>0</v>
      </c>
      <c r="J164" s="91">
        <f t="shared" ca="1" si="83"/>
        <v>0</v>
      </c>
      <c r="K164" s="12">
        <f t="shared" ca="1" si="84"/>
        <v>0</v>
      </c>
      <c r="L164" s="91">
        <f t="shared" ca="1" si="85"/>
        <v>0</v>
      </c>
      <c r="N164" s="12">
        <f t="array" aca="1" ref="N164" ca="1">COUNTIFS(ZIP_5,$A164,Site_Sum_W,"&gt;0",CES3Pctl,"&gt;=" &amp;TEXT($O$126,"0"))</f>
        <v>0</v>
      </c>
      <c r="O164" s="91">
        <f t="array" aca="1" ref="O164" ca="1">SUMIFS(Site_Sum_W,ZIP_5,$A164,CES3Pctl,"&gt;=" &amp;TEXT(O$126,"0"))</f>
        <v>0</v>
      </c>
      <c r="P164" s="12">
        <f t="array" aca="1" ref="P164" ca="1">COUNTIFS(ZIP_5,$A164,Struc_W,"&gt;0",CES3Pctl,"&gt;=" &amp;TEXT($O$126,"0"))</f>
        <v>0</v>
      </c>
      <c r="Q164" s="91">
        <f t="array" aca="1" ref="Q164" ca="1">SUMIFS(Struc_W,ZIP_5,$A164,CES3Pctl,"&gt;=" &amp;TEXT(Q$126,"0"))</f>
        <v>0</v>
      </c>
    </row>
    <row r="165" spans="1:17" s="4" customFormat="1" ht="15.75" hidden="1" thickBot="1" x14ac:dyDescent="0.3">
      <c r="A165" s="58">
        <f t="shared" si="76"/>
        <v>92133</v>
      </c>
      <c r="B165" s="6">
        <f t="shared" si="76"/>
        <v>0</v>
      </c>
      <c r="E165" s="84">
        <f t="shared" ca="1" si="78"/>
        <v>0</v>
      </c>
      <c r="F165" s="92">
        <f t="shared" ca="1" si="79"/>
        <v>0</v>
      </c>
      <c r="G165" s="12">
        <f t="shared" ca="1" si="80"/>
        <v>0</v>
      </c>
      <c r="H165" s="91">
        <f t="shared" ca="1" si="81"/>
        <v>0</v>
      </c>
      <c r="I165" s="12">
        <f t="shared" ca="1" si="82"/>
        <v>0</v>
      </c>
      <c r="J165" s="91">
        <f t="shared" ca="1" si="83"/>
        <v>0</v>
      </c>
      <c r="K165" s="12">
        <f t="shared" ca="1" si="84"/>
        <v>0</v>
      </c>
      <c r="L165" s="91">
        <f t="shared" ca="1" si="85"/>
        <v>0</v>
      </c>
      <c r="N165" s="12">
        <f t="array" aca="1" ref="N165" ca="1">COUNTIFS(ZIP_5,$A165,Site_Sum_W,"&gt;0",CES3Pctl,"&gt;=" &amp;TEXT($O$126,"0"))</f>
        <v>0</v>
      </c>
      <c r="O165" s="91">
        <f t="array" aca="1" ref="O165" ca="1">SUMIFS(Site_Sum_W,ZIP_5,$A165,CES3Pctl,"&gt;=" &amp;TEXT(O$126,"0"))</f>
        <v>0</v>
      </c>
      <c r="P165" s="12">
        <f t="array" aca="1" ref="P165" ca="1">COUNTIFS(ZIP_5,$A165,Struc_W,"&gt;0",CES3Pctl,"&gt;=" &amp;TEXT($O$126,"0"))</f>
        <v>0</v>
      </c>
      <c r="Q165" s="91">
        <f t="array" aca="1" ref="Q165" ca="1">SUMIFS(Struc_W,ZIP_5,$A165,CES3Pctl,"&gt;=" &amp;TEXT(Q$126,"0"))</f>
        <v>0</v>
      </c>
    </row>
    <row r="166" spans="1:17" s="4" customFormat="1" ht="15.75" thickBot="1" x14ac:dyDescent="0.3">
      <c r="A166" s="4">
        <f t="shared" si="76"/>
        <v>92134</v>
      </c>
      <c r="B166" s="6" t="str">
        <f t="shared" si="76"/>
        <v>S</v>
      </c>
      <c r="E166" s="84">
        <f t="shared" ca="1" si="78"/>
        <v>1</v>
      </c>
      <c r="F166" s="92">
        <f t="shared" ca="1" si="79"/>
        <v>1673000</v>
      </c>
      <c r="G166" s="12">
        <f t="shared" ca="1" si="80"/>
        <v>0</v>
      </c>
      <c r="H166" s="91">
        <f t="shared" ca="1" si="81"/>
        <v>0</v>
      </c>
      <c r="I166" s="12">
        <f t="shared" ca="1" si="82"/>
        <v>1</v>
      </c>
      <c r="J166" s="91">
        <f t="shared" ca="1" si="83"/>
        <v>1673000</v>
      </c>
      <c r="K166" s="12">
        <f t="shared" ca="1" si="84"/>
        <v>0</v>
      </c>
      <c r="L166" s="91">
        <f t="shared" ca="1" si="85"/>
        <v>0</v>
      </c>
      <c r="N166" s="12">
        <f t="array" aca="1" ref="N166" ca="1">COUNTIFS(ZIP_5,$A166,Site_Sum_W,"&gt;0",CES3Pctl,"&gt;=" &amp;TEXT($O$126,"0"))</f>
        <v>0</v>
      </c>
      <c r="O166" s="91">
        <f t="array" aca="1" ref="O166" ca="1">SUMIFS(Site_Sum_W,ZIP_5,$A166,CES3Pctl,"&gt;=" &amp;TEXT(O$126,"0"))</f>
        <v>0</v>
      </c>
      <c r="P166" s="12">
        <f t="array" aca="1" ref="P166" ca="1">COUNTIFS(ZIP_5,$A166,Struc_W,"&gt;0",CES3Pctl,"&gt;=" &amp;TEXT($O$126,"0"))</f>
        <v>0</v>
      </c>
      <c r="Q166" s="91">
        <f t="array" aca="1" ref="Q166" ca="1">SUMIFS(Struc_W,ZIP_5,$A166,CES3Pctl,"&gt;=" &amp;TEXT(Q$126,"0"))</f>
        <v>0</v>
      </c>
    </row>
    <row r="167" spans="1:17" s="4" customFormat="1" ht="15.75" hidden="1" thickBot="1" x14ac:dyDescent="0.3">
      <c r="A167" s="4">
        <f t="shared" si="76"/>
        <v>92135</v>
      </c>
      <c r="B167" s="6">
        <f t="shared" si="76"/>
        <v>0</v>
      </c>
      <c r="E167" s="84">
        <f t="shared" ca="1" si="78"/>
        <v>0</v>
      </c>
      <c r="F167" s="92">
        <f t="shared" ca="1" si="79"/>
        <v>0</v>
      </c>
      <c r="G167" s="12">
        <f t="shared" ca="1" si="80"/>
        <v>0</v>
      </c>
      <c r="H167" s="91">
        <f t="shared" ca="1" si="81"/>
        <v>0</v>
      </c>
      <c r="I167" s="12">
        <f t="shared" ca="1" si="82"/>
        <v>0</v>
      </c>
      <c r="J167" s="91">
        <f t="shared" ca="1" si="83"/>
        <v>0</v>
      </c>
      <c r="K167" s="12">
        <f t="shared" ca="1" si="84"/>
        <v>0</v>
      </c>
      <c r="L167" s="91">
        <f t="shared" ca="1" si="85"/>
        <v>0</v>
      </c>
      <c r="N167" s="12">
        <f t="array" aca="1" ref="N167" ca="1">COUNTIFS(ZIP_5,$A167,Site_Sum_W,"&gt;0",CES3Pctl,"&gt;=" &amp;TEXT($O$126,"0"))</f>
        <v>0</v>
      </c>
      <c r="O167" s="91">
        <f t="array" aca="1" ref="O167" ca="1">SUMIFS(Site_Sum_W,ZIP_5,$A167,CES3Pctl,"&gt;=" &amp;TEXT(O$126,"0"))</f>
        <v>0</v>
      </c>
      <c r="P167" s="12">
        <f t="array" aca="1" ref="P167" ca="1">COUNTIFS(ZIP_5,$A167,Struc_W,"&gt;0",CES3Pctl,"&gt;=" &amp;TEXT($O$126,"0"))</f>
        <v>0</v>
      </c>
      <c r="Q167" s="91">
        <f t="array" aca="1" ref="Q167" ca="1">SUMIFS(Struc_W,ZIP_5,$A167,CES3Pctl,"&gt;=" &amp;TEXT(Q$126,"0"))</f>
        <v>0</v>
      </c>
    </row>
    <row r="168" spans="1:17" s="4" customFormat="1" ht="15.75" thickBot="1" x14ac:dyDescent="0.3">
      <c r="A168" s="4">
        <f t="shared" si="76"/>
        <v>92136</v>
      </c>
      <c r="B168" s="6" t="str">
        <f t="shared" si="76"/>
        <v>S</v>
      </c>
      <c r="E168" s="84">
        <f t="shared" ca="1" si="78"/>
        <v>1</v>
      </c>
      <c r="F168" s="92">
        <f t="shared" ca="1" si="79"/>
        <v>3666600</v>
      </c>
      <c r="G168" s="12">
        <f t="shared" ca="1" si="80"/>
        <v>1</v>
      </c>
      <c r="H168" s="91">
        <f t="shared" ca="1" si="81"/>
        <v>3666600</v>
      </c>
      <c r="I168" s="12">
        <f t="shared" ca="1" si="82"/>
        <v>0</v>
      </c>
      <c r="J168" s="91">
        <f t="shared" ca="1" si="83"/>
        <v>0</v>
      </c>
      <c r="K168" s="12">
        <f t="shared" ca="1" si="84"/>
        <v>0</v>
      </c>
      <c r="L168" s="91">
        <f t="shared" ca="1" si="85"/>
        <v>0</v>
      </c>
      <c r="N168" s="12">
        <f t="array" aca="1" ref="N168" ca="1">COUNTIFS(ZIP_5,$A168,Site_Sum_W,"&gt;0",CES3Pctl,"&gt;=" &amp;TEXT($O$126,"0"))</f>
        <v>1</v>
      </c>
      <c r="O168" s="91">
        <f t="array" aca="1" ref="O168" ca="1">SUMIFS(Site_Sum_W,ZIP_5,$A168,CES3Pctl,"&gt;=" &amp;TEXT(O$126,"0"))</f>
        <v>3666600</v>
      </c>
      <c r="P168" s="12">
        <f t="array" aca="1" ref="P168" ca="1">COUNTIFS(ZIP_5,$A168,Struc_W,"&gt;0",CES3Pctl,"&gt;=" &amp;TEXT($O$126,"0"))</f>
        <v>5</v>
      </c>
      <c r="Q168" s="91">
        <f t="array" aca="1" ref="Q168" ca="1">SUMIFS(Struc_W,ZIP_5,$A168,CES3Pctl,"&gt;=" &amp;TEXT(Q$126,"0"))</f>
        <v>3666600</v>
      </c>
    </row>
    <row r="169" spans="1:17" s="4" customFormat="1" ht="15.75" hidden="1" thickBot="1" x14ac:dyDescent="0.3">
      <c r="A169" s="4">
        <f t="shared" si="76"/>
        <v>92137</v>
      </c>
      <c r="B169" s="6">
        <f t="shared" si="76"/>
        <v>0</v>
      </c>
      <c r="E169" s="84">
        <f t="shared" ca="1" si="78"/>
        <v>0</v>
      </c>
      <c r="F169" s="92">
        <f t="shared" ca="1" si="79"/>
        <v>0</v>
      </c>
      <c r="G169" s="12">
        <f t="shared" ca="1" si="80"/>
        <v>0</v>
      </c>
      <c r="H169" s="91">
        <f t="shared" ca="1" si="81"/>
        <v>0</v>
      </c>
      <c r="I169" s="12">
        <f t="shared" ca="1" si="82"/>
        <v>0</v>
      </c>
      <c r="J169" s="91">
        <f t="shared" ca="1" si="83"/>
        <v>0</v>
      </c>
      <c r="K169" s="12">
        <f t="shared" ca="1" si="84"/>
        <v>0</v>
      </c>
      <c r="L169" s="91">
        <f t="shared" ca="1" si="85"/>
        <v>0</v>
      </c>
      <c r="N169" s="12">
        <f t="array" aca="1" ref="N169" ca="1">COUNTIFS(ZIP_5,$A169,Site_Sum_W,"&gt;0",CES3Pctl,"&gt;=" &amp;TEXT($O$126,"0"))</f>
        <v>0</v>
      </c>
      <c r="O169" s="91">
        <f t="array" aca="1" ref="O169" ca="1">SUMIFS(Site_Sum_W,ZIP_5,$A169,CES3Pctl,"&gt;=" &amp;TEXT(O$126,"0"))</f>
        <v>0</v>
      </c>
      <c r="P169" s="12">
        <f t="array" aca="1" ref="P169" ca="1">COUNTIFS(ZIP_5,$A169,Struc_W,"&gt;0",CES3Pctl,"&gt;=" &amp;TEXT($O$126,"0"))</f>
        <v>0</v>
      </c>
      <c r="Q169" s="91">
        <f t="array" aca="1" ref="Q169" ca="1">SUMIFS(Struc_W,ZIP_5,$A169,CES3Pctl,"&gt;=" &amp;TEXT(Q$126,"0"))</f>
        <v>0</v>
      </c>
    </row>
    <row r="170" spans="1:17" s="4" customFormat="1" ht="15.75" hidden="1" thickBot="1" x14ac:dyDescent="0.3">
      <c r="A170" s="4">
        <f t="shared" si="76"/>
        <v>92138</v>
      </c>
      <c r="B170" s="6">
        <f t="shared" si="76"/>
        <v>0</v>
      </c>
      <c r="E170" s="84">
        <f t="shared" ca="1" si="78"/>
        <v>0</v>
      </c>
      <c r="F170" s="92">
        <f t="shared" ca="1" si="79"/>
        <v>0</v>
      </c>
      <c r="G170" s="12">
        <f t="shared" ca="1" si="80"/>
        <v>0</v>
      </c>
      <c r="H170" s="91">
        <f t="shared" ca="1" si="81"/>
        <v>0</v>
      </c>
      <c r="I170" s="12">
        <f t="shared" ca="1" si="82"/>
        <v>0</v>
      </c>
      <c r="J170" s="91">
        <f t="shared" ca="1" si="83"/>
        <v>0</v>
      </c>
      <c r="K170" s="12">
        <f t="shared" ca="1" si="84"/>
        <v>0</v>
      </c>
      <c r="L170" s="91">
        <f t="shared" ca="1" si="85"/>
        <v>0</v>
      </c>
      <c r="N170" s="12">
        <f t="array" aca="1" ref="N170" ca="1">COUNTIFS(ZIP_5,$A170,Site_Sum_W,"&gt;0",CES3Pctl,"&gt;=" &amp;TEXT($O$126,"0"))</f>
        <v>0</v>
      </c>
      <c r="O170" s="91">
        <f t="array" aca="1" ref="O170" ca="1">SUMIFS(Site_Sum_W,ZIP_5,$A170,CES3Pctl,"&gt;=" &amp;TEXT(O$126,"0"))</f>
        <v>0</v>
      </c>
      <c r="P170" s="12">
        <f t="array" aca="1" ref="P170" ca="1">COUNTIFS(ZIP_5,$A170,Struc_W,"&gt;0",CES3Pctl,"&gt;=" &amp;TEXT($O$126,"0"))</f>
        <v>0</v>
      </c>
      <c r="Q170" s="91">
        <f t="array" aca="1" ref="Q170" ca="1">SUMIFS(Struc_W,ZIP_5,$A170,CES3Pctl,"&gt;=" &amp;TEXT(Q$126,"0"))</f>
        <v>0</v>
      </c>
    </row>
    <row r="171" spans="1:17" s="4" customFormat="1" ht="15.75" hidden="1" thickBot="1" x14ac:dyDescent="0.3">
      <c r="A171" s="4">
        <f t="shared" si="76"/>
        <v>92139</v>
      </c>
      <c r="B171" s="6">
        <f t="shared" si="76"/>
        <v>0</v>
      </c>
      <c r="E171" s="84">
        <f t="shared" ca="1" si="78"/>
        <v>0</v>
      </c>
      <c r="F171" s="92">
        <f t="shared" ca="1" si="79"/>
        <v>0</v>
      </c>
      <c r="G171" s="12">
        <f t="shared" ca="1" si="80"/>
        <v>0</v>
      </c>
      <c r="H171" s="91">
        <f t="shared" ca="1" si="81"/>
        <v>0</v>
      </c>
      <c r="I171" s="12">
        <f t="shared" ca="1" si="82"/>
        <v>0</v>
      </c>
      <c r="J171" s="91">
        <f t="shared" ca="1" si="83"/>
        <v>0</v>
      </c>
      <c r="K171" s="12">
        <f t="shared" ca="1" si="84"/>
        <v>0</v>
      </c>
      <c r="L171" s="91">
        <f t="shared" ca="1" si="85"/>
        <v>0</v>
      </c>
      <c r="N171" s="12">
        <f t="array" aca="1" ref="N171" ca="1">COUNTIFS(ZIP_5,$A171,Site_Sum_W,"&gt;0",CES3Pctl,"&gt;=" &amp;TEXT($O$126,"0"))</f>
        <v>0</v>
      </c>
      <c r="O171" s="91">
        <f t="array" aca="1" ref="O171" ca="1">SUMIFS(Site_Sum_W,ZIP_5,$A171,CES3Pctl,"&gt;=" &amp;TEXT(O$126,"0"))</f>
        <v>0</v>
      </c>
      <c r="P171" s="12">
        <f t="array" aca="1" ref="P171" ca="1">COUNTIFS(ZIP_5,$A171,Struc_W,"&gt;0",CES3Pctl,"&gt;=" &amp;TEXT($O$126,"0"))</f>
        <v>0</v>
      </c>
      <c r="Q171" s="91">
        <f t="array" aca="1" ref="Q171" ca="1">SUMIFS(Struc_W,ZIP_5,$A171,CES3Pctl,"&gt;=" &amp;TEXT(Q$126,"0"))</f>
        <v>0</v>
      </c>
    </row>
    <row r="172" spans="1:17" s="4" customFormat="1" ht="15.75" hidden="1" thickBot="1" x14ac:dyDescent="0.3">
      <c r="A172" s="4">
        <f t="shared" si="76"/>
        <v>92140</v>
      </c>
      <c r="B172" s="6" t="str">
        <f t="shared" si="76"/>
        <v>S</v>
      </c>
      <c r="E172" s="84">
        <f t="shared" ca="1" si="78"/>
        <v>0</v>
      </c>
      <c r="F172" s="92">
        <f t="shared" ca="1" si="79"/>
        <v>0</v>
      </c>
      <c r="G172" s="12">
        <f t="shared" ca="1" si="80"/>
        <v>0</v>
      </c>
      <c r="H172" s="91">
        <f t="shared" ca="1" si="81"/>
        <v>0</v>
      </c>
      <c r="I172" s="12">
        <f t="shared" ca="1" si="82"/>
        <v>0</v>
      </c>
      <c r="J172" s="91">
        <f t="shared" ca="1" si="83"/>
        <v>0</v>
      </c>
      <c r="K172" s="12">
        <f t="shared" ca="1" si="84"/>
        <v>0</v>
      </c>
      <c r="L172" s="91">
        <f t="shared" ca="1" si="85"/>
        <v>0</v>
      </c>
      <c r="N172" s="12">
        <f t="array" aca="1" ref="N172" ca="1">COUNTIFS(ZIP_5,$A172,Site_Sum_W,"&gt;0",CES3Pctl,"&gt;=" &amp;TEXT($O$126,"0"))</f>
        <v>0</v>
      </c>
      <c r="O172" s="91">
        <f t="array" aca="1" ref="O172" ca="1">SUMIFS(Site_Sum_W,ZIP_5,$A172,CES3Pctl,"&gt;=" &amp;TEXT(O$126,"0"))</f>
        <v>0</v>
      </c>
      <c r="P172" s="12">
        <f t="array" aca="1" ref="P172" ca="1">COUNTIFS(ZIP_5,$A172,Struc_W,"&gt;0",CES3Pctl,"&gt;=" &amp;TEXT($O$126,"0"))</f>
        <v>0</v>
      </c>
      <c r="Q172" s="91">
        <f t="array" aca="1" ref="Q172" ca="1">SUMIFS(Struc_W,ZIP_5,$A172,CES3Pctl,"&gt;=" &amp;TEXT(Q$126,"0"))</f>
        <v>0</v>
      </c>
    </row>
    <row r="173" spans="1:17" s="4" customFormat="1" ht="15.75" hidden="1" thickBot="1" x14ac:dyDescent="0.3">
      <c r="A173" s="58">
        <f t="shared" si="76"/>
        <v>92141</v>
      </c>
      <c r="B173" s="6">
        <f t="shared" si="76"/>
        <v>0</v>
      </c>
      <c r="E173" s="84">
        <f t="shared" ca="1" si="78"/>
        <v>0</v>
      </c>
      <c r="F173" s="92">
        <f t="shared" ca="1" si="79"/>
        <v>0</v>
      </c>
      <c r="G173" s="12">
        <f t="shared" ca="1" si="80"/>
        <v>0</v>
      </c>
      <c r="H173" s="91">
        <f t="shared" ca="1" si="81"/>
        <v>0</v>
      </c>
      <c r="I173" s="12">
        <f t="shared" ca="1" si="82"/>
        <v>0</v>
      </c>
      <c r="J173" s="91">
        <f t="shared" ca="1" si="83"/>
        <v>0</v>
      </c>
      <c r="K173" s="12">
        <f t="shared" ca="1" si="84"/>
        <v>0</v>
      </c>
      <c r="L173" s="91">
        <f t="shared" ca="1" si="85"/>
        <v>0</v>
      </c>
      <c r="N173" s="12">
        <f t="array" aca="1" ref="N173" ca="1">COUNTIFS(ZIP_5,$A173,Site_Sum_W,"&gt;0",CES3Pctl,"&gt;=" &amp;TEXT($O$126,"0"))</f>
        <v>0</v>
      </c>
      <c r="O173" s="91">
        <f t="array" aca="1" ref="O173" ca="1">SUMIFS(Site_Sum_W,ZIP_5,$A173,CES3Pctl,"&gt;=" &amp;TEXT(O$126,"0"))</f>
        <v>0</v>
      </c>
      <c r="P173" s="12">
        <f t="array" aca="1" ref="P173" ca="1">COUNTIFS(ZIP_5,$A173,Struc_W,"&gt;0",CES3Pctl,"&gt;=" &amp;TEXT($O$126,"0"))</f>
        <v>0</v>
      </c>
      <c r="Q173" s="91">
        <f t="array" aca="1" ref="Q173" ca="1">SUMIFS(Struc_W,ZIP_5,$A173,CES3Pctl,"&gt;=" &amp;TEXT(Q$126,"0"))</f>
        <v>0</v>
      </c>
    </row>
    <row r="174" spans="1:17" s="4" customFormat="1" ht="15.75" hidden="1" thickBot="1" x14ac:dyDescent="0.3">
      <c r="A174" s="4">
        <f t="shared" si="76"/>
        <v>92142</v>
      </c>
      <c r="B174" s="6">
        <f t="shared" si="76"/>
        <v>0</v>
      </c>
      <c r="E174" s="84">
        <f t="shared" ca="1" si="78"/>
        <v>0</v>
      </c>
      <c r="F174" s="92">
        <f t="shared" ca="1" si="79"/>
        <v>0</v>
      </c>
      <c r="G174" s="12">
        <f t="shared" ca="1" si="80"/>
        <v>0</v>
      </c>
      <c r="H174" s="91">
        <f t="shared" ca="1" si="81"/>
        <v>0</v>
      </c>
      <c r="I174" s="12">
        <f t="shared" ca="1" si="82"/>
        <v>0</v>
      </c>
      <c r="J174" s="91">
        <f t="shared" ca="1" si="83"/>
        <v>0</v>
      </c>
      <c r="K174" s="12">
        <f t="shared" ca="1" si="84"/>
        <v>0</v>
      </c>
      <c r="L174" s="91">
        <f t="shared" ca="1" si="85"/>
        <v>0</v>
      </c>
      <c r="N174" s="12">
        <f t="array" aca="1" ref="N174" ca="1">COUNTIFS(ZIP_5,$A174,Site_Sum_W,"&gt;0",CES3Pctl,"&gt;=" &amp;TEXT($O$126,"0"))</f>
        <v>0</v>
      </c>
      <c r="O174" s="91">
        <f t="array" aca="1" ref="O174" ca="1">SUMIFS(Site_Sum_W,ZIP_5,$A174,CES3Pctl,"&gt;=" &amp;TEXT(O$126,"0"))</f>
        <v>0</v>
      </c>
      <c r="P174" s="12">
        <f t="array" aca="1" ref="P174" ca="1">COUNTIFS(ZIP_5,$A174,Struc_W,"&gt;0",CES3Pctl,"&gt;=" &amp;TEXT($O$126,"0"))</f>
        <v>0</v>
      </c>
      <c r="Q174" s="91">
        <f t="array" aca="1" ref="Q174" ca="1">SUMIFS(Struc_W,ZIP_5,$A174,CES3Pctl,"&gt;=" &amp;TEXT(Q$126,"0"))</f>
        <v>0</v>
      </c>
    </row>
    <row r="175" spans="1:17" s="4" customFormat="1" ht="15.75" hidden="1" thickBot="1" x14ac:dyDescent="0.3">
      <c r="A175" s="4">
        <f t="shared" si="76"/>
        <v>92143</v>
      </c>
      <c r="B175" s="6">
        <f t="shared" si="76"/>
        <v>0</v>
      </c>
      <c r="E175" s="84">
        <f t="shared" ca="1" si="78"/>
        <v>0</v>
      </c>
      <c r="F175" s="92">
        <f t="shared" ca="1" si="79"/>
        <v>0</v>
      </c>
      <c r="G175" s="12">
        <f t="shared" ca="1" si="80"/>
        <v>0</v>
      </c>
      <c r="H175" s="91">
        <f t="shared" ca="1" si="81"/>
        <v>0</v>
      </c>
      <c r="I175" s="12">
        <f t="shared" ca="1" si="82"/>
        <v>0</v>
      </c>
      <c r="J175" s="91">
        <f t="shared" ca="1" si="83"/>
        <v>0</v>
      </c>
      <c r="K175" s="12">
        <f t="shared" ca="1" si="84"/>
        <v>0</v>
      </c>
      <c r="L175" s="91">
        <f t="shared" ca="1" si="85"/>
        <v>0</v>
      </c>
      <c r="N175" s="12">
        <f t="array" aca="1" ref="N175" ca="1">COUNTIFS(ZIP_5,$A175,Site_Sum_W,"&gt;0",CES3Pctl,"&gt;=" &amp;TEXT($O$126,"0"))</f>
        <v>0</v>
      </c>
      <c r="O175" s="91">
        <f t="array" aca="1" ref="O175" ca="1">SUMIFS(Site_Sum_W,ZIP_5,$A175,CES3Pctl,"&gt;=" &amp;TEXT(O$126,"0"))</f>
        <v>0</v>
      </c>
      <c r="P175" s="12">
        <f t="array" aca="1" ref="P175" ca="1">COUNTIFS(ZIP_5,$A175,Struc_W,"&gt;0",CES3Pctl,"&gt;=" &amp;TEXT($O$126,"0"))</f>
        <v>0</v>
      </c>
      <c r="Q175" s="91">
        <f t="array" aca="1" ref="Q175" ca="1">SUMIFS(Struc_W,ZIP_5,$A175,CES3Pctl,"&gt;=" &amp;TEXT(Q$126,"0"))</f>
        <v>0</v>
      </c>
    </row>
    <row r="176" spans="1:17" s="4" customFormat="1" ht="15.75" hidden="1" thickBot="1" x14ac:dyDescent="0.3">
      <c r="A176" s="58">
        <f t="shared" si="76"/>
        <v>92144</v>
      </c>
      <c r="B176" s="6">
        <f t="shared" si="76"/>
        <v>0</v>
      </c>
      <c r="E176" s="84">
        <f t="shared" ca="1" si="78"/>
        <v>0</v>
      </c>
      <c r="F176" s="92">
        <f t="shared" ca="1" si="79"/>
        <v>0</v>
      </c>
      <c r="G176" s="12">
        <f t="shared" ca="1" si="80"/>
        <v>0</v>
      </c>
      <c r="H176" s="91">
        <f t="shared" ca="1" si="81"/>
        <v>0</v>
      </c>
      <c r="I176" s="12">
        <f t="shared" ca="1" si="82"/>
        <v>0</v>
      </c>
      <c r="J176" s="91">
        <f t="shared" ca="1" si="83"/>
        <v>0</v>
      </c>
      <c r="K176" s="12">
        <f t="shared" ca="1" si="84"/>
        <v>0</v>
      </c>
      <c r="L176" s="91">
        <f t="shared" ca="1" si="85"/>
        <v>0</v>
      </c>
      <c r="N176" s="12">
        <f t="array" aca="1" ref="N176" ca="1">COUNTIFS(ZIP_5,$A176,Site_Sum_W,"&gt;0",CES3Pctl,"&gt;=" &amp;TEXT($O$126,"0"))</f>
        <v>0</v>
      </c>
      <c r="O176" s="91">
        <f t="array" aca="1" ref="O176" ca="1">SUMIFS(Site_Sum_W,ZIP_5,$A176,CES3Pctl,"&gt;=" &amp;TEXT(O$126,"0"))</f>
        <v>0</v>
      </c>
      <c r="P176" s="12">
        <f t="array" aca="1" ref="P176" ca="1">COUNTIFS(ZIP_5,$A176,Struc_W,"&gt;0",CES3Pctl,"&gt;=" &amp;TEXT($O$126,"0"))</f>
        <v>0</v>
      </c>
      <c r="Q176" s="91">
        <f t="array" aca="1" ref="Q176" ca="1">SUMIFS(Struc_W,ZIP_5,$A176,CES3Pctl,"&gt;=" &amp;TEXT(Q$126,"0"))</f>
        <v>0</v>
      </c>
    </row>
    <row r="177" spans="1:17" s="4" customFormat="1" ht="15.75" thickBot="1" x14ac:dyDescent="0.3">
      <c r="A177" s="4">
        <f t="shared" si="76"/>
        <v>92145</v>
      </c>
      <c r="B177" s="6" t="str">
        <f t="shared" si="76"/>
        <v>N</v>
      </c>
      <c r="E177" s="84">
        <f t="shared" ca="1" si="78"/>
        <v>1</v>
      </c>
      <c r="F177" s="92">
        <f t="shared" ca="1" si="79"/>
        <v>48236200</v>
      </c>
      <c r="G177" s="12">
        <f t="shared" ca="1" si="80"/>
        <v>1</v>
      </c>
      <c r="H177" s="91">
        <f t="shared" ca="1" si="81"/>
        <v>48236200</v>
      </c>
      <c r="I177" s="12">
        <f t="shared" ca="1" si="82"/>
        <v>0</v>
      </c>
      <c r="J177" s="91">
        <f t="shared" ca="1" si="83"/>
        <v>0</v>
      </c>
      <c r="K177" s="12">
        <f t="shared" ca="1" si="84"/>
        <v>0</v>
      </c>
      <c r="L177" s="91">
        <f t="shared" ca="1" si="85"/>
        <v>0</v>
      </c>
      <c r="N177" s="12">
        <f t="array" aca="1" ref="N177" ca="1">COUNTIFS(ZIP_5,$A177,Site_Sum_W,"&gt;0",CES3Pctl,"&gt;=" &amp;TEXT($O$126,"0"))</f>
        <v>0</v>
      </c>
      <c r="O177" s="91">
        <f t="array" aca="1" ref="O177" ca="1">SUMIFS(Site_Sum_W,ZIP_5,$A177,CES3Pctl,"&gt;=" &amp;TEXT(O$126,"0"))</f>
        <v>0</v>
      </c>
      <c r="P177" s="12">
        <f t="array" aca="1" ref="P177" ca="1">COUNTIFS(ZIP_5,$A177,Struc_W,"&gt;0",CES3Pctl,"&gt;=" &amp;TEXT($O$126,"0"))</f>
        <v>0</v>
      </c>
      <c r="Q177" s="91">
        <f t="array" aca="1" ref="Q177" ca="1">SUMIFS(Struc_W,ZIP_5,$A177,CES3Pctl,"&gt;=" &amp;TEXT(Q$126,"0"))</f>
        <v>0</v>
      </c>
    </row>
    <row r="178" spans="1:17" s="4" customFormat="1" ht="15.75" hidden="1" thickBot="1" x14ac:dyDescent="0.3">
      <c r="A178" s="58">
        <f t="shared" si="76"/>
        <v>92146</v>
      </c>
      <c r="B178" s="6">
        <f t="shared" si="76"/>
        <v>0</v>
      </c>
      <c r="E178" s="84">
        <f t="shared" ca="1" si="78"/>
        <v>0</v>
      </c>
      <c r="F178" s="92">
        <f t="shared" ca="1" si="79"/>
        <v>0</v>
      </c>
      <c r="G178" s="12">
        <f t="shared" ca="1" si="80"/>
        <v>0</v>
      </c>
      <c r="H178" s="91">
        <f t="shared" ca="1" si="81"/>
        <v>0</v>
      </c>
      <c r="I178" s="12">
        <f t="shared" ca="1" si="82"/>
        <v>0</v>
      </c>
      <c r="J178" s="91">
        <f t="shared" ca="1" si="83"/>
        <v>0</v>
      </c>
      <c r="K178" s="12">
        <f t="shared" ca="1" si="84"/>
        <v>0</v>
      </c>
      <c r="L178" s="91">
        <f t="shared" ca="1" si="85"/>
        <v>0</v>
      </c>
      <c r="N178" s="12">
        <f t="array" aca="1" ref="N178" ca="1">COUNTIFS(ZIP_5,$A178,Site_Sum_W,"&gt;0",CES3Pctl,"&gt;=" &amp;TEXT($O$126,"0"))</f>
        <v>0</v>
      </c>
      <c r="O178" s="91">
        <f t="array" aca="1" ref="O178" ca="1">SUMIFS(Site_Sum_W,ZIP_5,$A178,CES3Pctl,"&gt;=" &amp;TEXT(O$126,"0"))</f>
        <v>0</v>
      </c>
      <c r="P178" s="12">
        <f t="array" aca="1" ref="P178" ca="1">COUNTIFS(ZIP_5,$A178,Struc_W,"&gt;0",CES3Pctl,"&gt;=" &amp;TEXT($O$126,"0"))</f>
        <v>0</v>
      </c>
      <c r="Q178" s="91">
        <f t="array" aca="1" ref="Q178" ca="1">SUMIFS(Struc_W,ZIP_5,$A178,CES3Pctl,"&gt;=" &amp;TEXT(Q$126,"0"))</f>
        <v>0</v>
      </c>
    </row>
    <row r="179" spans="1:17" s="4" customFormat="1" ht="15.75" hidden="1" thickBot="1" x14ac:dyDescent="0.3">
      <c r="A179" s="4">
        <f t="shared" si="76"/>
        <v>92147</v>
      </c>
      <c r="B179" s="6">
        <f t="shared" si="76"/>
        <v>0</v>
      </c>
      <c r="E179" s="84">
        <f t="shared" ca="1" si="78"/>
        <v>0</v>
      </c>
      <c r="F179" s="92">
        <f t="shared" ca="1" si="79"/>
        <v>0</v>
      </c>
      <c r="G179" s="12">
        <f t="shared" ca="1" si="80"/>
        <v>0</v>
      </c>
      <c r="H179" s="91">
        <f t="shared" ca="1" si="81"/>
        <v>0</v>
      </c>
      <c r="I179" s="12">
        <f t="shared" ca="1" si="82"/>
        <v>0</v>
      </c>
      <c r="J179" s="91">
        <f t="shared" ca="1" si="83"/>
        <v>0</v>
      </c>
      <c r="K179" s="12">
        <f t="shared" ca="1" si="84"/>
        <v>0</v>
      </c>
      <c r="L179" s="91">
        <f t="shared" ca="1" si="85"/>
        <v>0</v>
      </c>
      <c r="N179" s="12">
        <f t="array" aca="1" ref="N179" ca="1">COUNTIFS(ZIP_5,$A179,Site_Sum_W,"&gt;0",CES3Pctl,"&gt;=" &amp;TEXT($O$126,"0"))</f>
        <v>0</v>
      </c>
      <c r="O179" s="91">
        <f t="array" aca="1" ref="O179" ca="1">SUMIFS(Site_Sum_W,ZIP_5,$A179,CES3Pctl,"&gt;=" &amp;TEXT(O$126,"0"))</f>
        <v>0</v>
      </c>
      <c r="P179" s="12">
        <f t="array" aca="1" ref="P179" ca="1">COUNTIFS(ZIP_5,$A179,Struc_W,"&gt;0",CES3Pctl,"&gt;=" &amp;TEXT($O$126,"0"))</f>
        <v>0</v>
      </c>
      <c r="Q179" s="91">
        <f t="array" aca="1" ref="Q179" ca="1">SUMIFS(Struc_W,ZIP_5,$A179,CES3Pctl,"&gt;=" &amp;TEXT(Q$126,"0"))</f>
        <v>0</v>
      </c>
    </row>
    <row r="180" spans="1:17" s="4" customFormat="1" ht="15.75" hidden="1" thickBot="1" x14ac:dyDescent="0.3">
      <c r="A180" s="4">
        <f t="shared" si="76"/>
        <v>92148</v>
      </c>
      <c r="B180" s="6">
        <f t="shared" si="76"/>
        <v>0</v>
      </c>
      <c r="E180" s="84">
        <f t="shared" ca="1" si="78"/>
        <v>0</v>
      </c>
      <c r="F180" s="92">
        <f t="shared" ca="1" si="79"/>
        <v>0</v>
      </c>
      <c r="G180" s="12">
        <f t="shared" ca="1" si="80"/>
        <v>0</v>
      </c>
      <c r="H180" s="91">
        <f t="shared" ca="1" si="81"/>
        <v>0</v>
      </c>
      <c r="I180" s="12">
        <f t="shared" ca="1" si="82"/>
        <v>0</v>
      </c>
      <c r="J180" s="91">
        <f t="shared" ca="1" si="83"/>
        <v>0</v>
      </c>
      <c r="K180" s="12">
        <f t="shared" ca="1" si="84"/>
        <v>0</v>
      </c>
      <c r="L180" s="91">
        <f t="shared" ca="1" si="85"/>
        <v>0</v>
      </c>
      <c r="N180" s="12">
        <f t="array" aca="1" ref="N180" ca="1">COUNTIFS(ZIP_5,$A180,Site_Sum_W,"&gt;0",CES3Pctl,"&gt;=" &amp;TEXT($O$126,"0"))</f>
        <v>0</v>
      </c>
      <c r="O180" s="91">
        <f t="array" aca="1" ref="O180" ca="1">SUMIFS(Site_Sum_W,ZIP_5,$A180,CES3Pctl,"&gt;=" &amp;TEXT(O$126,"0"))</f>
        <v>0</v>
      </c>
      <c r="P180" s="12">
        <f t="array" aca="1" ref="P180" ca="1">COUNTIFS(ZIP_5,$A180,Struc_W,"&gt;0",CES3Pctl,"&gt;=" &amp;TEXT($O$126,"0"))</f>
        <v>0</v>
      </c>
      <c r="Q180" s="91">
        <f t="array" aca="1" ref="Q180" ca="1">SUMIFS(Struc_W,ZIP_5,$A180,CES3Pctl,"&gt;=" &amp;TEXT(Q$126,"0"))</f>
        <v>0</v>
      </c>
    </row>
    <row r="181" spans="1:17" s="4" customFormat="1" ht="15.75" hidden="1" thickBot="1" x14ac:dyDescent="0.3">
      <c r="A181" s="4">
        <f t="shared" si="76"/>
        <v>92149</v>
      </c>
      <c r="B181" s="6">
        <f t="shared" si="76"/>
        <v>0</v>
      </c>
      <c r="E181" s="84">
        <f t="shared" ca="1" si="78"/>
        <v>0</v>
      </c>
      <c r="F181" s="92">
        <f t="shared" ca="1" si="79"/>
        <v>0</v>
      </c>
      <c r="G181" s="12">
        <f t="shared" ca="1" si="80"/>
        <v>0</v>
      </c>
      <c r="H181" s="91">
        <f t="shared" ca="1" si="81"/>
        <v>0</v>
      </c>
      <c r="I181" s="12">
        <f t="shared" ca="1" si="82"/>
        <v>0</v>
      </c>
      <c r="J181" s="91">
        <f t="shared" ca="1" si="83"/>
        <v>0</v>
      </c>
      <c r="K181" s="12">
        <f t="shared" ca="1" si="84"/>
        <v>0</v>
      </c>
      <c r="L181" s="91">
        <f t="shared" ca="1" si="85"/>
        <v>0</v>
      </c>
      <c r="N181" s="12">
        <f t="array" aca="1" ref="N181" ca="1">COUNTIFS(ZIP_5,$A181,Site_Sum_W,"&gt;0",CES3Pctl,"&gt;=" &amp;TEXT($O$126,"0"))</f>
        <v>0</v>
      </c>
      <c r="O181" s="91">
        <f t="array" aca="1" ref="O181" ca="1">SUMIFS(Site_Sum_W,ZIP_5,$A181,CES3Pctl,"&gt;=" &amp;TEXT(O$126,"0"))</f>
        <v>0</v>
      </c>
      <c r="P181" s="12">
        <f t="array" aca="1" ref="P181" ca="1">COUNTIFS(ZIP_5,$A181,Struc_W,"&gt;0",CES3Pctl,"&gt;=" &amp;TEXT($O$126,"0"))</f>
        <v>0</v>
      </c>
      <c r="Q181" s="91">
        <f t="array" aca="1" ref="Q181" ca="1">SUMIFS(Struc_W,ZIP_5,$A181,CES3Pctl,"&gt;=" &amp;TEXT(Q$126,"0"))</f>
        <v>0</v>
      </c>
    </row>
    <row r="182" spans="1:17" s="4" customFormat="1" ht="15.75" hidden="1" thickBot="1" x14ac:dyDescent="0.3">
      <c r="A182" s="4">
        <f t="shared" si="76"/>
        <v>92150</v>
      </c>
      <c r="B182" s="6">
        <f t="shared" si="76"/>
        <v>0</v>
      </c>
      <c r="E182" s="84">
        <f t="shared" ca="1" si="78"/>
        <v>0</v>
      </c>
      <c r="F182" s="92">
        <f t="shared" ca="1" si="79"/>
        <v>0</v>
      </c>
      <c r="G182" s="12">
        <f t="shared" ca="1" si="80"/>
        <v>0</v>
      </c>
      <c r="H182" s="91">
        <f t="shared" ca="1" si="81"/>
        <v>0</v>
      </c>
      <c r="I182" s="12">
        <f t="shared" ca="1" si="82"/>
        <v>0</v>
      </c>
      <c r="J182" s="91">
        <f t="shared" ca="1" si="83"/>
        <v>0</v>
      </c>
      <c r="K182" s="12">
        <f t="shared" ca="1" si="84"/>
        <v>0</v>
      </c>
      <c r="L182" s="91">
        <f t="shared" ca="1" si="85"/>
        <v>0</v>
      </c>
      <c r="N182" s="12">
        <f t="array" aca="1" ref="N182" ca="1">COUNTIFS(ZIP_5,$A182,Site_Sum_W,"&gt;0",CES3Pctl,"&gt;=" &amp;TEXT($O$126,"0"))</f>
        <v>0</v>
      </c>
      <c r="O182" s="91">
        <f t="array" aca="1" ref="O182" ca="1">SUMIFS(Site_Sum_W,ZIP_5,$A182,CES3Pctl,"&gt;=" &amp;TEXT(O$126,"0"))</f>
        <v>0</v>
      </c>
      <c r="P182" s="12">
        <f t="array" aca="1" ref="P182" ca="1">COUNTIFS(ZIP_5,$A182,Struc_W,"&gt;0",CES3Pctl,"&gt;=" &amp;TEXT($O$126,"0"))</f>
        <v>0</v>
      </c>
      <c r="Q182" s="91">
        <f t="array" aca="1" ref="Q182" ca="1">SUMIFS(Struc_W,ZIP_5,$A182,CES3Pctl,"&gt;=" &amp;TEXT(Q$126,"0"))</f>
        <v>0</v>
      </c>
    </row>
    <row r="183" spans="1:17" s="4" customFormat="1" ht="15.75" hidden="1" thickBot="1" x14ac:dyDescent="0.3">
      <c r="A183" s="4">
        <f t="shared" si="76"/>
        <v>92151</v>
      </c>
      <c r="B183" s="6">
        <f t="shared" si="76"/>
        <v>0</v>
      </c>
      <c r="E183" s="84">
        <f t="shared" ca="1" si="78"/>
        <v>0</v>
      </c>
      <c r="F183" s="92">
        <f t="shared" ca="1" si="79"/>
        <v>0</v>
      </c>
      <c r="G183" s="12">
        <f t="shared" ca="1" si="80"/>
        <v>0</v>
      </c>
      <c r="H183" s="91">
        <f t="shared" ca="1" si="81"/>
        <v>0</v>
      </c>
      <c r="I183" s="12">
        <f t="shared" ca="1" si="82"/>
        <v>0</v>
      </c>
      <c r="J183" s="91">
        <f t="shared" ca="1" si="83"/>
        <v>0</v>
      </c>
      <c r="K183" s="12">
        <f t="shared" ca="1" si="84"/>
        <v>0</v>
      </c>
      <c r="L183" s="91">
        <f t="shared" ca="1" si="85"/>
        <v>0</v>
      </c>
      <c r="N183" s="12">
        <f t="array" aca="1" ref="N183" ca="1">COUNTIFS(ZIP_5,$A183,Site_Sum_W,"&gt;0",CES3Pctl,"&gt;=" &amp;TEXT($O$126,"0"))</f>
        <v>0</v>
      </c>
      <c r="O183" s="91">
        <f t="array" aca="1" ref="O183" ca="1">SUMIFS(Site_Sum_W,ZIP_5,$A183,CES3Pctl,"&gt;=" &amp;TEXT(O$126,"0"))</f>
        <v>0</v>
      </c>
      <c r="P183" s="12">
        <f t="array" aca="1" ref="P183" ca="1">COUNTIFS(ZIP_5,$A183,Struc_W,"&gt;0",CES3Pctl,"&gt;=" &amp;TEXT($O$126,"0"))</f>
        <v>0</v>
      </c>
      <c r="Q183" s="91">
        <f t="array" aca="1" ref="Q183" ca="1">SUMIFS(Struc_W,ZIP_5,$A183,CES3Pctl,"&gt;=" &amp;TEXT(Q$126,"0"))</f>
        <v>0</v>
      </c>
    </row>
    <row r="184" spans="1:17" s="4" customFormat="1" ht="15.75" hidden="1" thickBot="1" x14ac:dyDescent="0.3">
      <c r="A184" s="4">
        <f t="shared" si="76"/>
        <v>92152</v>
      </c>
      <c r="B184" s="6">
        <f t="shared" si="76"/>
        <v>0</v>
      </c>
      <c r="E184" s="84">
        <f t="shared" ca="1" si="78"/>
        <v>0</v>
      </c>
      <c r="F184" s="92">
        <f t="shared" ca="1" si="79"/>
        <v>0</v>
      </c>
      <c r="G184" s="12">
        <f t="shared" ca="1" si="80"/>
        <v>0</v>
      </c>
      <c r="H184" s="91">
        <f t="shared" ca="1" si="81"/>
        <v>0</v>
      </c>
      <c r="I184" s="12">
        <f t="shared" ca="1" si="82"/>
        <v>0</v>
      </c>
      <c r="J184" s="91">
        <f t="shared" ca="1" si="83"/>
        <v>0</v>
      </c>
      <c r="K184" s="12">
        <f t="shared" ca="1" si="84"/>
        <v>0</v>
      </c>
      <c r="L184" s="91">
        <f t="shared" ca="1" si="85"/>
        <v>0</v>
      </c>
      <c r="N184" s="12">
        <f t="array" aca="1" ref="N184" ca="1">COUNTIFS(ZIP_5,$A184,Site_Sum_W,"&gt;0",CES3Pctl,"&gt;=" &amp;TEXT($O$126,"0"))</f>
        <v>0</v>
      </c>
      <c r="O184" s="91">
        <f t="array" aca="1" ref="O184" ca="1">SUMIFS(Site_Sum_W,ZIP_5,$A184,CES3Pctl,"&gt;=" &amp;TEXT(O$126,"0"))</f>
        <v>0</v>
      </c>
      <c r="P184" s="12">
        <f t="array" aca="1" ref="P184" ca="1">COUNTIFS(ZIP_5,$A184,Struc_W,"&gt;0",CES3Pctl,"&gt;=" &amp;TEXT($O$126,"0"))</f>
        <v>0</v>
      </c>
      <c r="Q184" s="91">
        <f t="array" aca="1" ref="Q184" ca="1">SUMIFS(Struc_W,ZIP_5,$A184,CES3Pctl,"&gt;=" &amp;TEXT(Q$126,"0"))</f>
        <v>0</v>
      </c>
    </row>
    <row r="185" spans="1:17" s="4" customFormat="1" ht="15.75" hidden="1" thickBot="1" x14ac:dyDescent="0.3">
      <c r="A185" s="4">
        <f t="shared" si="76"/>
        <v>92153</v>
      </c>
      <c r="B185" s="6">
        <f t="shared" si="76"/>
        <v>0</v>
      </c>
      <c r="E185" s="84">
        <f t="shared" ca="1" si="78"/>
        <v>0</v>
      </c>
      <c r="F185" s="92">
        <f t="shared" ca="1" si="79"/>
        <v>0</v>
      </c>
      <c r="G185" s="12">
        <f t="shared" ca="1" si="80"/>
        <v>0</v>
      </c>
      <c r="H185" s="91">
        <f t="shared" ca="1" si="81"/>
        <v>0</v>
      </c>
      <c r="I185" s="12">
        <f t="shared" ca="1" si="82"/>
        <v>0</v>
      </c>
      <c r="J185" s="91">
        <f t="shared" ca="1" si="83"/>
        <v>0</v>
      </c>
      <c r="K185" s="12">
        <f t="shared" ca="1" si="84"/>
        <v>0</v>
      </c>
      <c r="L185" s="91">
        <f t="shared" ca="1" si="85"/>
        <v>0</v>
      </c>
      <c r="N185" s="12">
        <f t="array" aca="1" ref="N185" ca="1">COUNTIFS(ZIP_5,$A185,Site_Sum_W,"&gt;0",CES3Pctl,"&gt;=" &amp;TEXT($O$126,"0"))</f>
        <v>0</v>
      </c>
      <c r="O185" s="91">
        <f t="array" aca="1" ref="O185" ca="1">SUMIFS(Site_Sum_W,ZIP_5,$A185,CES3Pctl,"&gt;=" &amp;TEXT(O$126,"0"))</f>
        <v>0</v>
      </c>
      <c r="P185" s="12">
        <f t="array" aca="1" ref="P185" ca="1">COUNTIFS(ZIP_5,$A185,Struc_W,"&gt;0",CES3Pctl,"&gt;=" &amp;TEXT($O$126,"0"))</f>
        <v>0</v>
      </c>
      <c r="Q185" s="91">
        <f t="array" aca="1" ref="Q185" ca="1">SUMIFS(Struc_W,ZIP_5,$A185,CES3Pctl,"&gt;=" &amp;TEXT(Q$126,"0"))</f>
        <v>0</v>
      </c>
    </row>
    <row r="186" spans="1:17" s="4" customFormat="1" ht="15.75" thickBot="1" x14ac:dyDescent="0.3">
      <c r="A186" s="4">
        <f t="shared" si="76"/>
        <v>92154</v>
      </c>
      <c r="B186" s="6" t="str">
        <f t="shared" si="76"/>
        <v>S</v>
      </c>
      <c r="E186" s="84">
        <f t="shared" ca="1" si="78"/>
        <v>28</v>
      </c>
      <c r="F186" s="92">
        <f t="shared" ca="1" si="79"/>
        <v>71757700</v>
      </c>
      <c r="G186" s="12">
        <f t="shared" ca="1" si="80"/>
        <v>9</v>
      </c>
      <c r="H186" s="91">
        <f t="shared" ca="1" si="81"/>
        <v>45366800</v>
      </c>
      <c r="I186" s="12">
        <f t="shared" ca="1" si="82"/>
        <v>13</v>
      </c>
      <c r="J186" s="91">
        <f t="shared" ca="1" si="83"/>
        <v>21764400</v>
      </c>
      <c r="K186" s="12">
        <f t="shared" ca="1" si="84"/>
        <v>6</v>
      </c>
      <c r="L186" s="91">
        <f t="shared" ca="1" si="85"/>
        <v>4626500</v>
      </c>
      <c r="N186" s="12">
        <f t="array" aca="1" ref="N186" ca="1">COUNTIFS(ZIP_5,$A186,Site_Sum_W,"&gt;0",CES3Pctl,"&gt;=" &amp;TEXT($O$126,"0"))</f>
        <v>0</v>
      </c>
      <c r="O186" s="91">
        <f t="array" aca="1" ref="O186" ca="1">SUMIFS(Site_Sum_W,ZIP_5,$A186,CES3Pctl,"&gt;=" &amp;TEXT(O$126,"0"))</f>
        <v>0</v>
      </c>
      <c r="P186" s="12">
        <f t="array" aca="1" ref="P186" ca="1">COUNTIFS(ZIP_5,$A186,Struc_W,"&gt;0",CES3Pctl,"&gt;=" &amp;TEXT($O$126,"0"))</f>
        <v>0</v>
      </c>
      <c r="Q186" s="91">
        <f t="array" aca="1" ref="Q186" ca="1">SUMIFS(Struc_W,ZIP_5,$A186,CES3Pctl,"&gt;=" &amp;TEXT(Q$126,"0"))</f>
        <v>0</v>
      </c>
    </row>
    <row r="187" spans="1:17" s="4" customFormat="1" ht="15.75" hidden="1" thickBot="1" x14ac:dyDescent="0.3">
      <c r="A187" s="4">
        <f t="shared" si="76"/>
        <v>92155</v>
      </c>
      <c r="B187" s="6">
        <f t="shared" si="76"/>
        <v>0</v>
      </c>
      <c r="E187" s="84">
        <f t="shared" ca="1" si="78"/>
        <v>0</v>
      </c>
      <c r="F187" s="92">
        <f t="shared" ca="1" si="79"/>
        <v>0</v>
      </c>
      <c r="G187" s="12">
        <f t="shared" ca="1" si="80"/>
        <v>0</v>
      </c>
      <c r="H187" s="91">
        <f t="shared" ca="1" si="81"/>
        <v>0</v>
      </c>
      <c r="I187" s="12">
        <f t="shared" ca="1" si="82"/>
        <v>0</v>
      </c>
      <c r="J187" s="91">
        <f t="shared" ca="1" si="83"/>
        <v>0</v>
      </c>
      <c r="K187" s="12">
        <f t="shared" ca="1" si="84"/>
        <v>0</v>
      </c>
      <c r="L187" s="91">
        <f t="shared" ca="1" si="85"/>
        <v>0</v>
      </c>
      <c r="N187" s="12">
        <f t="array" aca="1" ref="N187" ca="1">COUNTIFS(ZIP_5,$A187,Site_Sum_W,"&gt;0",CES3Pctl,"&gt;=" &amp;TEXT($O$126,"0"))</f>
        <v>0</v>
      </c>
      <c r="O187" s="91">
        <f t="array" aca="1" ref="O187" ca="1">SUMIFS(Site_Sum_W,ZIP_5,$A187,CES3Pctl,"&gt;=" &amp;TEXT(O$126,"0"))</f>
        <v>0</v>
      </c>
      <c r="P187" s="12">
        <f t="array" aca="1" ref="P187" ca="1">COUNTIFS(ZIP_5,$A187,Struc_W,"&gt;0",CES3Pctl,"&gt;=" &amp;TEXT($O$126,"0"))</f>
        <v>0</v>
      </c>
      <c r="Q187" s="91">
        <f t="array" aca="1" ref="Q187" ca="1">SUMIFS(Struc_W,ZIP_5,$A187,CES3Pctl,"&gt;=" &amp;TEXT(Q$126,"0"))</f>
        <v>0</v>
      </c>
    </row>
    <row r="188" spans="1:17" s="4" customFormat="1" ht="15.75" hidden="1" thickBot="1" x14ac:dyDescent="0.3">
      <c r="A188" s="58">
        <f t="shared" si="76"/>
        <v>92156</v>
      </c>
      <c r="B188" s="6">
        <f t="shared" si="76"/>
        <v>0</v>
      </c>
      <c r="E188" s="84">
        <f t="shared" ca="1" si="78"/>
        <v>0</v>
      </c>
      <c r="F188" s="92">
        <f t="shared" ca="1" si="79"/>
        <v>0</v>
      </c>
      <c r="G188" s="12">
        <f t="shared" ca="1" si="80"/>
        <v>0</v>
      </c>
      <c r="H188" s="91">
        <f t="shared" ca="1" si="81"/>
        <v>0</v>
      </c>
      <c r="I188" s="12">
        <f t="shared" ca="1" si="82"/>
        <v>0</v>
      </c>
      <c r="J188" s="91">
        <f t="shared" ca="1" si="83"/>
        <v>0</v>
      </c>
      <c r="K188" s="12">
        <f t="shared" ca="1" si="84"/>
        <v>0</v>
      </c>
      <c r="L188" s="91">
        <f t="shared" ca="1" si="85"/>
        <v>0</v>
      </c>
      <c r="N188" s="12">
        <f t="array" aca="1" ref="N188" ca="1">COUNTIFS(ZIP_5,$A188,Site_Sum_W,"&gt;0",CES3Pctl,"&gt;=" &amp;TEXT($O$126,"0"))</f>
        <v>0</v>
      </c>
      <c r="O188" s="91">
        <f t="array" aca="1" ref="O188" ca="1">SUMIFS(Site_Sum_W,ZIP_5,$A188,CES3Pctl,"&gt;=" &amp;TEXT(O$126,"0"))</f>
        <v>0</v>
      </c>
      <c r="P188" s="12">
        <f t="array" aca="1" ref="P188" ca="1">COUNTIFS(ZIP_5,$A188,Struc_W,"&gt;0",CES3Pctl,"&gt;=" &amp;TEXT($O$126,"0"))</f>
        <v>0</v>
      </c>
      <c r="Q188" s="91">
        <f t="array" aca="1" ref="Q188" ca="1">SUMIFS(Struc_W,ZIP_5,$A188,CES3Pctl,"&gt;=" &amp;TEXT(Q$126,"0"))</f>
        <v>0</v>
      </c>
    </row>
    <row r="189" spans="1:17" s="4" customFormat="1" ht="15.75" hidden="1" thickBot="1" x14ac:dyDescent="0.3">
      <c r="A189" s="58">
        <f t="shared" si="76"/>
        <v>92157</v>
      </c>
      <c r="B189" s="6">
        <f t="shared" si="76"/>
        <v>0</v>
      </c>
      <c r="E189" s="84">
        <f t="shared" ca="1" si="78"/>
        <v>0</v>
      </c>
      <c r="F189" s="92">
        <f t="shared" ca="1" si="79"/>
        <v>0</v>
      </c>
      <c r="G189" s="12">
        <f t="shared" ca="1" si="80"/>
        <v>0</v>
      </c>
      <c r="H189" s="91">
        <f t="shared" ca="1" si="81"/>
        <v>0</v>
      </c>
      <c r="I189" s="12">
        <f t="shared" ca="1" si="82"/>
        <v>0</v>
      </c>
      <c r="J189" s="91">
        <f t="shared" ca="1" si="83"/>
        <v>0</v>
      </c>
      <c r="K189" s="12">
        <f t="shared" ca="1" si="84"/>
        <v>0</v>
      </c>
      <c r="L189" s="91">
        <f t="shared" ca="1" si="85"/>
        <v>0</v>
      </c>
      <c r="N189" s="12">
        <f t="array" aca="1" ref="N189" ca="1">COUNTIFS(ZIP_5,$A189,Site_Sum_W,"&gt;0",CES3Pctl,"&gt;=" &amp;TEXT($O$126,"0"))</f>
        <v>0</v>
      </c>
      <c r="O189" s="91">
        <f t="array" aca="1" ref="O189" ca="1">SUMIFS(Site_Sum_W,ZIP_5,$A189,CES3Pctl,"&gt;=" &amp;TEXT(O$126,"0"))</f>
        <v>0</v>
      </c>
      <c r="P189" s="12">
        <f t="array" aca="1" ref="P189" ca="1">COUNTIFS(ZIP_5,$A189,Struc_W,"&gt;0",CES3Pctl,"&gt;=" &amp;TEXT($O$126,"0"))</f>
        <v>0</v>
      </c>
      <c r="Q189" s="91">
        <f t="array" aca="1" ref="Q189" ca="1">SUMIFS(Struc_W,ZIP_5,$A189,CES3Pctl,"&gt;=" &amp;TEXT(Q$126,"0"))</f>
        <v>0</v>
      </c>
    </row>
    <row r="190" spans="1:17" s="4" customFormat="1" ht="15.75" hidden="1" thickBot="1" x14ac:dyDescent="0.3">
      <c r="A190" s="4">
        <f t="shared" si="76"/>
        <v>92158</v>
      </c>
      <c r="B190" s="6">
        <f t="shared" si="76"/>
        <v>0</v>
      </c>
      <c r="E190" s="84">
        <f t="shared" ca="1" si="78"/>
        <v>0</v>
      </c>
      <c r="F190" s="92">
        <f t="shared" ca="1" si="79"/>
        <v>0</v>
      </c>
      <c r="G190" s="12">
        <f t="shared" ca="1" si="80"/>
        <v>0</v>
      </c>
      <c r="H190" s="91">
        <f t="shared" ca="1" si="81"/>
        <v>0</v>
      </c>
      <c r="I190" s="12">
        <f t="shared" ca="1" si="82"/>
        <v>0</v>
      </c>
      <c r="J190" s="91">
        <f t="shared" ca="1" si="83"/>
        <v>0</v>
      </c>
      <c r="K190" s="12">
        <f t="shared" ca="1" si="84"/>
        <v>0</v>
      </c>
      <c r="L190" s="91">
        <f t="shared" ca="1" si="85"/>
        <v>0</v>
      </c>
      <c r="N190" s="12">
        <f t="array" aca="1" ref="N190" ca="1">COUNTIFS(ZIP_5,$A190,Site_Sum_W,"&gt;0",CES3Pctl,"&gt;=" &amp;TEXT($O$126,"0"))</f>
        <v>0</v>
      </c>
      <c r="O190" s="91">
        <f t="array" aca="1" ref="O190" ca="1">SUMIFS(Site_Sum_W,ZIP_5,$A190,CES3Pctl,"&gt;=" &amp;TEXT(O$126,"0"))</f>
        <v>0</v>
      </c>
      <c r="P190" s="12">
        <f t="array" aca="1" ref="P190" ca="1">COUNTIFS(ZIP_5,$A190,Struc_W,"&gt;0",CES3Pctl,"&gt;=" &amp;TEXT($O$126,"0"))</f>
        <v>0</v>
      </c>
      <c r="Q190" s="91">
        <f t="array" aca="1" ref="Q190" ca="1">SUMIFS(Struc_W,ZIP_5,$A190,CES3Pctl,"&gt;=" &amp;TEXT(Q$126,"0"))</f>
        <v>0</v>
      </c>
    </row>
    <row r="191" spans="1:17" s="4" customFormat="1" ht="15.75" hidden="1" thickBot="1" x14ac:dyDescent="0.3">
      <c r="A191" s="4">
        <f t="shared" si="76"/>
        <v>92159</v>
      </c>
      <c r="B191" s="6">
        <f t="shared" si="76"/>
        <v>0</v>
      </c>
      <c r="E191" s="84">
        <f t="shared" ca="1" si="78"/>
        <v>0</v>
      </c>
      <c r="F191" s="92">
        <f t="shared" ca="1" si="79"/>
        <v>0</v>
      </c>
      <c r="G191" s="12">
        <f t="shared" ca="1" si="80"/>
        <v>0</v>
      </c>
      <c r="H191" s="91">
        <f t="shared" ca="1" si="81"/>
        <v>0</v>
      </c>
      <c r="I191" s="12">
        <f t="shared" ca="1" si="82"/>
        <v>0</v>
      </c>
      <c r="J191" s="91">
        <f t="shared" ca="1" si="83"/>
        <v>0</v>
      </c>
      <c r="K191" s="12">
        <f t="shared" ca="1" si="84"/>
        <v>0</v>
      </c>
      <c r="L191" s="91">
        <f t="shared" ca="1" si="85"/>
        <v>0</v>
      </c>
      <c r="N191" s="12">
        <f t="array" aca="1" ref="N191" ca="1">COUNTIFS(ZIP_5,$A191,Site_Sum_W,"&gt;0",CES3Pctl,"&gt;=" &amp;TEXT($O$126,"0"))</f>
        <v>0</v>
      </c>
      <c r="O191" s="91">
        <f t="array" aca="1" ref="O191" ca="1">SUMIFS(Site_Sum_W,ZIP_5,$A191,CES3Pctl,"&gt;=" &amp;TEXT(O$126,"0"))</f>
        <v>0</v>
      </c>
      <c r="P191" s="12">
        <f t="array" aca="1" ref="P191" ca="1">COUNTIFS(ZIP_5,$A191,Struc_W,"&gt;0",CES3Pctl,"&gt;=" &amp;TEXT($O$126,"0"))</f>
        <v>0</v>
      </c>
      <c r="Q191" s="91">
        <f t="array" aca="1" ref="Q191" ca="1">SUMIFS(Struc_W,ZIP_5,$A191,CES3Pctl,"&gt;=" &amp;TEXT(Q$126,"0"))</f>
        <v>0</v>
      </c>
    </row>
    <row r="192" spans="1:17" s="4" customFormat="1" ht="15.75" hidden="1" thickBot="1" x14ac:dyDescent="0.3">
      <c r="A192" s="4">
        <f t="shared" si="76"/>
        <v>92160</v>
      </c>
      <c r="B192" s="6">
        <f t="shared" si="76"/>
        <v>0</v>
      </c>
      <c r="E192" s="84">
        <f t="shared" ca="1" si="78"/>
        <v>0</v>
      </c>
      <c r="F192" s="92">
        <f t="shared" ca="1" si="79"/>
        <v>0</v>
      </c>
      <c r="G192" s="12">
        <f t="shared" ca="1" si="80"/>
        <v>0</v>
      </c>
      <c r="H192" s="91">
        <f t="shared" ca="1" si="81"/>
        <v>0</v>
      </c>
      <c r="I192" s="12">
        <f t="shared" ca="1" si="82"/>
        <v>0</v>
      </c>
      <c r="J192" s="91">
        <f t="shared" ca="1" si="83"/>
        <v>0</v>
      </c>
      <c r="K192" s="12">
        <f t="shared" ca="1" si="84"/>
        <v>0</v>
      </c>
      <c r="L192" s="91">
        <f t="shared" ca="1" si="85"/>
        <v>0</v>
      </c>
      <c r="N192" s="12">
        <f t="array" aca="1" ref="N192" ca="1">COUNTIFS(ZIP_5,$A192,Site_Sum_W,"&gt;0",CES3Pctl,"&gt;=" &amp;TEXT($O$126,"0"))</f>
        <v>0</v>
      </c>
      <c r="O192" s="91">
        <f t="array" aca="1" ref="O192" ca="1">SUMIFS(Site_Sum_W,ZIP_5,$A192,CES3Pctl,"&gt;=" &amp;TEXT(O$126,"0"))</f>
        <v>0</v>
      </c>
      <c r="P192" s="12">
        <f t="array" aca="1" ref="P192" ca="1">COUNTIFS(ZIP_5,$A192,Struc_W,"&gt;0",CES3Pctl,"&gt;=" &amp;TEXT($O$126,"0"))</f>
        <v>0</v>
      </c>
      <c r="Q192" s="91">
        <f t="array" aca="1" ref="Q192" ca="1">SUMIFS(Struc_W,ZIP_5,$A192,CES3Pctl,"&gt;=" &amp;TEXT(Q$126,"0"))</f>
        <v>0</v>
      </c>
    </row>
    <row r="193" spans="1:17" s="4" customFormat="1" ht="15.75" thickBot="1" x14ac:dyDescent="0.3">
      <c r="A193" s="4">
        <f t="shared" si="76"/>
        <v>92161</v>
      </c>
      <c r="B193" s="6" t="str">
        <f t="shared" si="76"/>
        <v>S</v>
      </c>
      <c r="E193" s="84">
        <f t="shared" ca="1" si="78"/>
        <v>1</v>
      </c>
      <c r="F193" s="92">
        <f t="shared" ca="1" si="79"/>
        <v>2443000</v>
      </c>
      <c r="G193" s="12">
        <f t="shared" ca="1" si="80"/>
        <v>0</v>
      </c>
      <c r="H193" s="91">
        <f t="shared" ca="1" si="81"/>
        <v>0</v>
      </c>
      <c r="I193" s="12">
        <f t="shared" ca="1" si="82"/>
        <v>1</v>
      </c>
      <c r="J193" s="91">
        <f t="shared" ca="1" si="83"/>
        <v>2443000</v>
      </c>
      <c r="K193" s="12">
        <f t="shared" ca="1" si="84"/>
        <v>0</v>
      </c>
      <c r="L193" s="91">
        <f t="shared" ca="1" si="85"/>
        <v>0</v>
      </c>
      <c r="N193" s="12">
        <f t="array" aca="1" ref="N193" ca="1">COUNTIFS(ZIP_5,$A193,Site_Sum_W,"&gt;0",CES3Pctl,"&gt;=" &amp;TEXT($O$126,"0"))</f>
        <v>0</v>
      </c>
      <c r="O193" s="91">
        <f t="array" aca="1" ref="O193" ca="1">SUMIFS(Site_Sum_W,ZIP_5,$A193,CES3Pctl,"&gt;=" &amp;TEXT(O$126,"0"))</f>
        <v>0</v>
      </c>
      <c r="P193" s="12">
        <f t="array" aca="1" ref="P193" ca="1">COUNTIFS(ZIP_5,$A193,Struc_W,"&gt;0",CES3Pctl,"&gt;=" &amp;TEXT($O$126,"0"))</f>
        <v>0</v>
      </c>
      <c r="Q193" s="91">
        <f t="array" aca="1" ref="Q193" ca="1">SUMIFS(Struc_W,ZIP_5,$A193,CES3Pctl,"&gt;=" &amp;TEXT(Q$126,"0"))</f>
        <v>0</v>
      </c>
    </row>
    <row r="194" spans="1:17" s="4" customFormat="1" ht="15.75" hidden="1" thickBot="1" x14ac:dyDescent="0.3">
      <c r="A194" s="58">
        <f t="shared" si="76"/>
        <v>92162</v>
      </c>
      <c r="B194" s="6">
        <f t="shared" si="76"/>
        <v>0</v>
      </c>
      <c r="E194" s="84">
        <f t="shared" ca="1" si="78"/>
        <v>0</v>
      </c>
      <c r="F194" s="92">
        <f t="shared" ca="1" si="79"/>
        <v>0</v>
      </c>
      <c r="G194" s="12">
        <f t="shared" ca="1" si="80"/>
        <v>0</v>
      </c>
      <c r="H194" s="91">
        <f t="shared" ca="1" si="81"/>
        <v>0</v>
      </c>
      <c r="I194" s="12">
        <f t="shared" ca="1" si="82"/>
        <v>0</v>
      </c>
      <c r="J194" s="91">
        <f t="shared" ca="1" si="83"/>
        <v>0</v>
      </c>
      <c r="K194" s="12">
        <f t="shared" ca="1" si="84"/>
        <v>0</v>
      </c>
      <c r="L194" s="91">
        <f t="shared" ca="1" si="85"/>
        <v>0</v>
      </c>
      <c r="N194" s="12">
        <f t="array" aca="1" ref="N194" ca="1">COUNTIFS(ZIP_5,$A194,Site_Sum_W,"&gt;0",CES3Pctl,"&gt;=" &amp;TEXT($O$126,"0"))</f>
        <v>0</v>
      </c>
      <c r="O194" s="91">
        <f t="array" aca="1" ref="O194" ca="1">SUMIFS(Site_Sum_W,ZIP_5,$A194,CES3Pctl,"&gt;=" &amp;TEXT(O$126,"0"))</f>
        <v>0</v>
      </c>
      <c r="P194" s="12">
        <f t="array" aca="1" ref="P194" ca="1">COUNTIFS(ZIP_5,$A194,Struc_W,"&gt;0",CES3Pctl,"&gt;=" &amp;TEXT($O$126,"0"))</f>
        <v>0</v>
      </c>
      <c r="Q194" s="91">
        <f t="array" aca="1" ref="Q194" ca="1">SUMIFS(Struc_W,ZIP_5,$A194,CES3Pctl,"&gt;=" &amp;TEXT(Q$126,"0"))</f>
        <v>0</v>
      </c>
    </row>
    <row r="195" spans="1:17" s="4" customFormat="1" ht="15.75" hidden="1" thickBot="1" x14ac:dyDescent="0.3">
      <c r="A195" s="4">
        <f t="shared" si="76"/>
        <v>92163</v>
      </c>
      <c r="B195" s="6">
        <f t="shared" si="76"/>
        <v>0</v>
      </c>
      <c r="E195" s="84">
        <f t="shared" ref="E195:E231" ca="1" si="86">COUNTIFS(Site_Sum_W,"&gt;0",ZIP_5,$A195)</f>
        <v>0</v>
      </c>
      <c r="F195" s="92">
        <f t="shared" ref="F195:F231" ca="1" si="87">SUMIFS(Site_Sum_W,ZIP_5,$A195)</f>
        <v>0</v>
      </c>
      <c r="G195" s="12">
        <f t="shared" ref="G195:G226" ca="1" si="88">COUNTIFS(ZIP_5,$A195,Site_Sum_W,"&gt;=" &amp;TEXT(H$126,"0"))</f>
        <v>0</v>
      </c>
      <c r="H195" s="91">
        <f t="shared" ref="H195:H231" ca="1" si="89">SUMIFS(Site_Sum_W,ZIP_5,$A195,Site_Sum_W,"&gt;=" &amp;TEXT(H$126,"0"))</f>
        <v>0</v>
      </c>
      <c r="I195" s="12">
        <f t="shared" ref="I195:I226" ca="1" si="90">COUNTIFS(ZIP_5,$A195,Site_Sum_W,"&lt;" &amp;TEXT(H$126,"0"),Site_Sum_W,"&gt;=" &amp;TEXT($J$126,"0"))</f>
        <v>0</v>
      </c>
      <c r="J195" s="91">
        <f t="shared" ref="J195:J231" ca="1" si="91">SUMIFS(Site_Sum_W,ZIP_5,$A195,Site_Sum_W,"&lt;" &amp;TEXT(H$126,"0"),Site_Sum_W,"&gt;=" &amp;TEXT($J$126,"0"))</f>
        <v>0</v>
      </c>
      <c r="K195" s="12">
        <f t="shared" ref="K195:K226" ca="1" si="92">COUNTIFS(ZIP_5,$A195,Site_Sum_W,"&lt;"&amp;TEXT(L$126,"0"),Site_Sum_W,"&gt;0")</f>
        <v>0</v>
      </c>
      <c r="L195" s="91">
        <f t="shared" ref="L195:L231" ca="1" si="93">SUMIFS(Site_Sum_W,ZIP_5,$A195,Site_Sum_W,"&lt;" &amp;TEXT(L$126,"0"))</f>
        <v>0</v>
      </c>
      <c r="N195" s="12">
        <f t="array" aca="1" ref="N195" ca="1">COUNTIFS(ZIP_5,$A195,Site_Sum_W,"&gt;0",CES3Pctl,"&gt;=" &amp;TEXT($O$126,"0"))</f>
        <v>0</v>
      </c>
      <c r="O195" s="91">
        <f t="array" aca="1" ref="O195" ca="1">SUMIFS(Site_Sum_W,ZIP_5,$A195,CES3Pctl,"&gt;=" &amp;TEXT(O$126,"0"))</f>
        <v>0</v>
      </c>
      <c r="P195" s="12">
        <f t="array" aca="1" ref="P195" ca="1">COUNTIFS(ZIP_5,$A195,Struc_W,"&gt;0",CES3Pctl,"&gt;=" &amp;TEXT($O$126,"0"))</f>
        <v>0</v>
      </c>
      <c r="Q195" s="91">
        <f t="array" aca="1" ref="Q195" ca="1">SUMIFS(Struc_W,ZIP_5,$A195,CES3Pctl,"&gt;=" &amp;TEXT(Q$126,"0"))</f>
        <v>0</v>
      </c>
    </row>
    <row r="196" spans="1:17" s="4" customFormat="1" ht="15.75" hidden="1" thickBot="1" x14ac:dyDescent="0.3">
      <c r="A196" s="58">
        <f t="shared" ref="A196:B231" si="94">A83</f>
        <v>92164</v>
      </c>
      <c r="B196" s="6">
        <f t="shared" si="94"/>
        <v>0</v>
      </c>
      <c r="E196" s="84">
        <f t="shared" ca="1" si="86"/>
        <v>0</v>
      </c>
      <c r="F196" s="92">
        <f t="shared" ca="1" si="87"/>
        <v>0</v>
      </c>
      <c r="G196" s="12">
        <f t="shared" ca="1" si="88"/>
        <v>0</v>
      </c>
      <c r="H196" s="91">
        <f t="shared" ca="1" si="89"/>
        <v>0</v>
      </c>
      <c r="I196" s="12">
        <f t="shared" ca="1" si="90"/>
        <v>0</v>
      </c>
      <c r="J196" s="91">
        <f t="shared" ca="1" si="91"/>
        <v>0</v>
      </c>
      <c r="K196" s="12">
        <f t="shared" ca="1" si="92"/>
        <v>0</v>
      </c>
      <c r="L196" s="91">
        <f t="shared" ca="1" si="93"/>
        <v>0</v>
      </c>
      <c r="N196" s="12">
        <f t="array" aca="1" ref="N196" ca="1">COUNTIFS(ZIP_5,$A196,Site_Sum_W,"&gt;0",CES3Pctl,"&gt;=" &amp;TEXT($O$126,"0"))</f>
        <v>0</v>
      </c>
      <c r="O196" s="91">
        <f t="array" aca="1" ref="O196" ca="1">SUMIFS(Site_Sum_W,ZIP_5,$A196,CES3Pctl,"&gt;=" &amp;TEXT(O$126,"0"))</f>
        <v>0</v>
      </c>
      <c r="P196" s="12">
        <f t="array" aca="1" ref="P196" ca="1">COUNTIFS(ZIP_5,$A196,Struc_W,"&gt;0",CES3Pctl,"&gt;=" &amp;TEXT($O$126,"0"))</f>
        <v>0</v>
      </c>
      <c r="Q196" s="91">
        <f t="array" aca="1" ref="Q196" ca="1">SUMIFS(Struc_W,ZIP_5,$A196,CES3Pctl,"&gt;=" &amp;TEXT(Q$126,"0"))</f>
        <v>0</v>
      </c>
    </row>
    <row r="197" spans="1:17" s="4" customFormat="1" ht="15.75" hidden="1" thickBot="1" x14ac:dyDescent="0.3">
      <c r="A197" s="4">
        <f t="shared" si="94"/>
        <v>92165</v>
      </c>
      <c r="B197" s="6">
        <f t="shared" si="94"/>
        <v>0</v>
      </c>
      <c r="E197" s="84">
        <f t="shared" ca="1" si="86"/>
        <v>0</v>
      </c>
      <c r="F197" s="92">
        <f t="shared" ca="1" si="87"/>
        <v>0</v>
      </c>
      <c r="G197" s="12">
        <f t="shared" ca="1" si="88"/>
        <v>0</v>
      </c>
      <c r="H197" s="91">
        <f t="shared" ca="1" si="89"/>
        <v>0</v>
      </c>
      <c r="I197" s="12">
        <f t="shared" ca="1" si="90"/>
        <v>0</v>
      </c>
      <c r="J197" s="91">
        <f t="shared" ca="1" si="91"/>
        <v>0</v>
      </c>
      <c r="K197" s="12">
        <f t="shared" ca="1" si="92"/>
        <v>0</v>
      </c>
      <c r="L197" s="91">
        <f t="shared" ca="1" si="93"/>
        <v>0</v>
      </c>
      <c r="N197" s="12">
        <f t="array" aca="1" ref="N197" ca="1">COUNTIFS(ZIP_5,$A197,Site_Sum_W,"&gt;0",CES3Pctl,"&gt;=" &amp;TEXT($O$126,"0"))</f>
        <v>0</v>
      </c>
      <c r="O197" s="91">
        <f t="array" aca="1" ref="O197" ca="1">SUMIFS(Site_Sum_W,ZIP_5,$A197,CES3Pctl,"&gt;=" &amp;TEXT(O$126,"0"))</f>
        <v>0</v>
      </c>
      <c r="P197" s="12">
        <f t="array" aca="1" ref="P197" ca="1">COUNTIFS(ZIP_5,$A197,Struc_W,"&gt;0",CES3Pctl,"&gt;=" &amp;TEXT($O$126,"0"))</f>
        <v>0</v>
      </c>
      <c r="Q197" s="91">
        <f t="array" aca="1" ref="Q197" ca="1">SUMIFS(Struc_W,ZIP_5,$A197,CES3Pctl,"&gt;=" &amp;TEXT(Q$126,"0"))</f>
        <v>0</v>
      </c>
    </row>
    <row r="198" spans="1:17" s="4" customFormat="1" ht="15.75" hidden="1" thickBot="1" x14ac:dyDescent="0.3">
      <c r="A198" s="4">
        <f t="shared" si="94"/>
        <v>92166</v>
      </c>
      <c r="B198" s="6">
        <f t="shared" si="94"/>
        <v>0</v>
      </c>
      <c r="E198" s="84">
        <f t="shared" ca="1" si="86"/>
        <v>0</v>
      </c>
      <c r="F198" s="92">
        <f t="shared" ca="1" si="87"/>
        <v>0</v>
      </c>
      <c r="G198" s="12">
        <f t="shared" ca="1" si="88"/>
        <v>0</v>
      </c>
      <c r="H198" s="91">
        <f t="shared" ca="1" si="89"/>
        <v>0</v>
      </c>
      <c r="I198" s="12">
        <f t="shared" ca="1" si="90"/>
        <v>0</v>
      </c>
      <c r="J198" s="91">
        <f t="shared" ca="1" si="91"/>
        <v>0</v>
      </c>
      <c r="K198" s="12">
        <f t="shared" ca="1" si="92"/>
        <v>0</v>
      </c>
      <c r="L198" s="91">
        <f t="shared" ca="1" si="93"/>
        <v>0</v>
      </c>
      <c r="N198" s="12">
        <f t="array" aca="1" ref="N198" ca="1">COUNTIFS(ZIP_5,$A198,Site_Sum_W,"&gt;0",CES3Pctl,"&gt;=" &amp;TEXT($O$126,"0"))</f>
        <v>0</v>
      </c>
      <c r="O198" s="91">
        <f t="array" aca="1" ref="O198" ca="1">SUMIFS(Site_Sum_W,ZIP_5,$A198,CES3Pctl,"&gt;=" &amp;TEXT(O$126,"0"))</f>
        <v>0</v>
      </c>
      <c r="P198" s="12">
        <f t="array" aca="1" ref="P198" ca="1">COUNTIFS(ZIP_5,$A198,Struc_W,"&gt;0",CES3Pctl,"&gt;=" &amp;TEXT($O$126,"0"))</f>
        <v>0</v>
      </c>
      <c r="Q198" s="91">
        <f t="array" aca="1" ref="Q198" ca="1">SUMIFS(Struc_W,ZIP_5,$A198,CES3Pctl,"&gt;=" &amp;TEXT(Q$126,"0"))</f>
        <v>0</v>
      </c>
    </row>
    <row r="199" spans="1:17" s="4" customFormat="1" ht="15.75" hidden="1" thickBot="1" x14ac:dyDescent="0.3">
      <c r="A199" s="4">
        <f t="shared" si="94"/>
        <v>92167</v>
      </c>
      <c r="B199" s="6">
        <f t="shared" si="94"/>
        <v>0</v>
      </c>
      <c r="E199" s="84">
        <f t="shared" ca="1" si="86"/>
        <v>0</v>
      </c>
      <c r="F199" s="92">
        <f t="shared" ca="1" si="87"/>
        <v>0</v>
      </c>
      <c r="G199" s="12">
        <f t="shared" ca="1" si="88"/>
        <v>0</v>
      </c>
      <c r="H199" s="91">
        <f t="shared" ca="1" si="89"/>
        <v>0</v>
      </c>
      <c r="I199" s="12">
        <f t="shared" ca="1" si="90"/>
        <v>0</v>
      </c>
      <c r="J199" s="91">
        <f t="shared" ca="1" si="91"/>
        <v>0</v>
      </c>
      <c r="K199" s="12">
        <f t="shared" ca="1" si="92"/>
        <v>0</v>
      </c>
      <c r="L199" s="91">
        <f t="shared" ca="1" si="93"/>
        <v>0</v>
      </c>
      <c r="N199" s="12">
        <f t="array" aca="1" ref="N199" ca="1">COUNTIFS(ZIP_5,$A199,Site_Sum_W,"&gt;0",CES3Pctl,"&gt;=" &amp;TEXT($O$126,"0"))</f>
        <v>0</v>
      </c>
      <c r="O199" s="91">
        <f t="array" aca="1" ref="O199" ca="1">SUMIFS(Site_Sum_W,ZIP_5,$A199,CES3Pctl,"&gt;=" &amp;TEXT(O$126,"0"))</f>
        <v>0</v>
      </c>
      <c r="P199" s="12">
        <f t="array" aca="1" ref="P199" ca="1">COUNTIFS(ZIP_5,$A199,Struc_W,"&gt;0",CES3Pctl,"&gt;=" &amp;TEXT($O$126,"0"))</f>
        <v>0</v>
      </c>
      <c r="Q199" s="91">
        <f t="array" aca="1" ref="Q199" ca="1">SUMIFS(Struc_W,ZIP_5,$A199,CES3Pctl,"&gt;=" &amp;TEXT(Q$126,"0"))</f>
        <v>0</v>
      </c>
    </row>
    <row r="200" spans="1:17" s="4" customFormat="1" ht="15.75" hidden="1" thickBot="1" x14ac:dyDescent="0.3">
      <c r="A200" s="4">
        <f t="shared" si="94"/>
        <v>92168</v>
      </c>
      <c r="B200" s="6">
        <f t="shared" si="94"/>
        <v>0</v>
      </c>
      <c r="E200" s="84">
        <f t="shared" ca="1" si="86"/>
        <v>0</v>
      </c>
      <c r="F200" s="92">
        <f t="shared" ca="1" si="87"/>
        <v>0</v>
      </c>
      <c r="G200" s="12">
        <f t="shared" ca="1" si="88"/>
        <v>0</v>
      </c>
      <c r="H200" s="91">
        <f t="shared" ca="1" si="89"/>
        <v>0</v>
      </c>
      <c r="I200" s="12">
        <f t="shared" ca="1" si="90"/>
        <v>0</v>
      </c>
      <c r="J200" s="91">
        <f t="shared" ca="1" si="91"/>
        <v>0</v>
      </c>
      <c r="K200" s="12">
        <f t="shared" ca="1" si="92"/>
        <v>0</v>
      </c>
      <c r="L200" s="91">
        <f t="shared" ca="1" si="93"/>
        <v>0</v>
      </c>
      <c r="N200" s="12">
        <f t="array" aca="1" ref="N200" ca="1">COUNTIFS(ZIP_5,$A200,Site_Sum_W,"&gt;0",CES3Pctl,"&gt;=" &amp;TEXT($O$126,"0"))</f>
        <v>0</v>
      </c>
      <c r="O200" s="91">
        <f t="array" aca="1" ref="O200" ca="1">SUMIFS(Site_Sum_W,ZIP_5,$A200,CES3Pctl,"&gt;=" &amp;TEXT(O$126,"0"))</f>
        <v>0</v>
      </c>
      <c r="P200" s="12">
        <f t="array" aca="1" ref="P200" ca="1">COUNTIFS(ZIP_5,$A200,Struc_W,"&gt;0",CES3Pctl,"&gt;=" &amp;TEXT($O$126,"0"))</f>
        <v>0</v>
      </c>
      <c r="Q200" s="91">
        <f t="array" aca="1" ref="Q200" ca="1">SUMIFS(Struc_W,ZIP_5,$A200,CES3Pctl,"&gt;=" &amp;TEXT(Q$126,"0"))</f>
        <v>0</v>
      </c>
    </row>
    <row r="201" spans="1:17" s="4" customFormat="1" ht="15.75" hidden="1" thickBot="1" x14ac:dyDescent="0.3">
      <c r="A201" s="4">
        <f t="shared" si="94"/>
        <v>92169</v>
      </c>
      <c r="B201" s="6">
        <f t="shared" si="94"/>
        <v>0</v>
      </c>
      <c r="E201" s="84">
        <f t="shared" ca="1" si="86"/>
        <v>0</v>
      </c>
      <c r="F201" s="92">
        <f t="shared" ca="1" si="87"/>
        <v>0</v>
      </c>
      <c r="G201" s="12">
        <f t="shared" ca="1" si="88"/>
        <v>0</v>
      </c>
      <c r="H201" s="91">
        <f t="shared" ca="1" si="89"/>
        <v>0</v>
      </c>
      <c r="I201" s="12">
        <f t="shared" ca="1" si="90"/>
        <v>0</v>
      </c>
      <c r="J201" s="91">
        <f t="shared" ca="1" si="91"/>
        <v>0</v>
      </c>
      <c r="K201" s="12">
        <f t="shared" ca="1" si="92"/>
        <v>0</v>
      </c>
      <c r="L201" s="91">
        <f t="shared" ca="1" si="93"/>
        <v>0</v>
      </c>
      <c r="N201" s="12">
        <f t="array" aca="1" ref="N201" ca="1">COUNTIFS(ZIP_5,$A201,Site_Sum_W,"&gt;0",CES3Pctl,"&gt;=" &amp;TEXT($O$126,"0"))</f>
        <v>0</v>
      </c>
      <c r="O201" s="91">
        <f t="array" aca="1" ref="O201" ca="1">SUMIFS(Site_Sum_W,ZIP_5,$A201,CES3Pctl,"&gt;=" &amp;TEXT(O$126,"0"))</f>
        <v>0</v>
      </c>
      <c r="P201" s="12">
        <f t="array" aca="1" ref="P201" ca="1">COUNTIFS(ZIP_5,$A201,Struc_W,"&gt;0",CES3Pctl,"&gt;=" &amp;TEXT($O$126,"0"))</f>
        <v>0</v>
      </c>
      <c r="Q201" s="91">
        <f t="array" aca="1" ref="Q201" ca="1">SUMIFS(Struc_W,ZIP_5,$A201,CES3Pctl,"&gt;=" &amp;TEXT(Q$126,"0"))</f>
        <v>0</v>
      </c>
    </row>
    <row r="202" spans="1:17" s="4" customFormat="1" ht="15.75" hidden="1" thickBot="1" x14ac:dyDescent="0.3">
      <c r="A202" s="4">
        <f t="shared" si="94"/>
        <v>92170</v>
      </c>
      <c r="B202" s="6">
        <f t="shared" si="94"/>
        <v>0</v>
      </c>
      <c r="E202" s="84">
        <f t="shared" ca="1" si="86"/>
        <v>0</v>
      </c>
      <c r="F202" s="92">
        <f t="shared" ca="1" si="87"/>
        <v>0</v>
      </c>
      <c r="G202" s="12">
        <f t="shared" ca="1" si="88"/>
        <v>0</v>
      </c>
      <c r="H202" s="91">
        <f t="shared" ca="1" si="89"/>
        <v>0</v>
      </c>
      <c r="I202" s="12">
        <f t="shared" ca="1" si="90"/>
        <v>0</v>
      </c>
      <c r="J202" s="91">
        <f t="shared" ca="1" si="91"/>
        <v>0</v>
      </c>
      <c r="K202" s="12">
        <f t="shared" ca="1" si="92"/>
        <v>0</v>
      </c>
      <c r="L202" s="91">
        <f t="shared" ca="1" si="93"/>
        <v>0</v>
      </c>
      <c r="N202" s="12">
        <f t="array" aca="1" ref="N202" ca="1">COUNTIFS(ZIP_5,$A202,Site_Sum_W,"&gt;0",CES3Pctl,"&gt;=" &amp;TEXT($O$126,"0"))</f>
        <v>0</v>
      </c>
      <c r="O202" s="91">
        <f t="array" aca="1" ref="O202" ca="1">SUMIFS(Site_Sum_W,ZIP_5,$A202,CES3Pctl,"&gt;=" &amp;TEXT(O$126,"0"))</f>
        <v>0</v>
      </c>
      <c r="P202" s="12">
        <f t="array" aca="1" ref="P202" ca="1">COUNTIFS(ZIP_5,$A202,Struc_W,"&gt;0",CES3Pctl,"&gt;=" &amp;TEXT($O$126,"0"))</f>
        <v>0</v>
      </c>
      <c r="Q202" s="91">
        <f t="array" aca="1" ref="Q202" ca="1">SUMIFS(Struc_W,ZIP_5,$A202,CES3Pctl,"&gt;=" &amp;TEXT(Q$126,"0"))</f>
        <v>0</v>
      </c>
    </row>
    <row r="203" spans="1:17" s="4" customFormat="1" ht="15.75" hidden="1" thickBot="1" x14ac:dyDescent="0.3">
      <c r="A203" s="4">
        <f t="shared" si="94"/>
        <v>92171</v>
      </c>
      <c r="B203" s="6">
        <f t="shared" si="94"/>
        <v>0</v>
      </c>
      <c r="E203" s="84">
        <f t="shared" ca="1" si="86"/>
        <v>0</v>
      </c>
      <c r="F203" s="92">
        <f t="shared" ca="1" si="87"/>
        <v>0</v>
      </c>
      <c r="G203" s="12">
        <f t="shared" ca="1" si="88"/>
        <v>0</v>
      </c>
      <c r="H203" s="91">
        <f t="shared" ca="1" si="89"/>
        <v>0</v>
      </c>
      <c r="I203" s="12">
        <f t="shared" ca="1" si="90"/>
        <v>0</v>
      </c>
      <c r="J203" s="91">
        <f t="shared" ca="1" si="91"/>
        <v>0</v>
      </c>
      <c r="K203" s="12">
        <f t="shared" ca="1" si="92"/>
        <v>0</v>
      </c>
      <c r="L203" s="91">
        <f t="shared" ca="1" si="93"/>
        <v>0</v>
      </c>
      <c r="N203" s="12">
        <f t="array" aca="1" ref="N203" ca="1">COUNTIFS(ZIP_5,$A203,Site_Sum_W,"&gt;0",CES3Pctl,"&gt;=" &amp;TEXT($O$126,"0"))</f>
        <v>0</v>
      </c>
      <c r="O203" s="91">
        <f t="array" aca="1" ref="O203" ca="1">SUMIFS(Site_Sum_W,ZIP_5,$A203,CES3Pctl,"&gt;=" &amp;TEXT(O$126,"0"))</f>
        <v>0</v>
      </c>
      <c r="P203" s="12">
        <f t="array" aca="1" ref="P203" ca="1">COUNTIFS(ZIP_5,$A203,Struc_W,"&gt;0",CES3Pctl,"&gt;=" &amp;TEXT($O$126,"0"))</f>
        <v>0</v>
      </c>
      <c r="Q203" s="91">
        <f t="array" aca="1" ref="Q203" ca="1">SUMIFS(Struc_W,ZIP_5,$A203,CES3Pctl,"&gt;=" &amp;TEXT(Q$126,"0"))</f>
        <v>0</v>
      </c>
    </row>
    <row r="204" spans="1:17" s="4" customFormat="1" ht="15.75" hidden="1" thickBot="1" x14ac:dyDescent="0.3">
      <c r="A204" s="4">
        <f t="shared" si="94"/>
        <v>92172</v>
      </c>
      <c r="B204" s="6">
        <f t="shared" si="94"/>
        <v>0</v>
      </c>
      <c r="E204" s="84">
        <f t="shared" ca="1" si="86"/>
        <v>0</v>
      </c>
      <c r="F204" s="92">
        <f t="shared" ca="1" si="87"/>
        <v>0</v>
      </c>
      <c r="G204" s="12">
        <f t="shared" ca="1" si="88"/>
        <v>0</v>
      </c>
      <c r="H204" s="91">
        <f t="shared" ca="1" si="89"/>
        <v>0</v>
      </c>
      <c r="I204" s="12">
        <f t="shared" ca="1" si="90"/>
        <v>0</v>
      </c>
      <c r="J204" s="91">
        <f t="shared" ca="1" si="91"/>
        <v>0</v>
      </c>
      <c r="K204" s="12">
        <f t="shared" ca="1" si="92"/>
        <v>0</v>
      </c>
      <c r="L204" s="91">
        <f t="shared" ca="1" si="93"/>
        <v>0</v>
      </c>
      <c r="N204" s="12">
        <f t="array" aca="1" ref="N204" ca="1">COUNTIFS(ZIP_5,$A204,Site_Sum_W,"&gt;0",CES3Pctl,"&gt;=" &amp;TEXT($O$126,"0"))</f>
        <v>0</v>
      </c>
      <c r="O204" s="91">
        <f t="array" aca="1" ref="O204" ca="1">SUMIFS(Site_Sum_W,ZIP_5,$A204,CES3Pctl,"&gt;=" &amp;TEXT(O$126,"0"))</f>
        <v>0</v>
      </c>
      <c r="P204" s="12">
        <f t="array" aca="1" ref="P204" ca="1">COUNTIFS(ZIP_5,$A204,Struc_W,"&gt;0",CES3Pctl,"&gt;=" &amp;TEXT($O$126,"0"))</f>
        <v>0</v>
      </c>
      <c r="Q204" s="91">
        <f t="array" aca="1" ref="Q204" ca="1">SUMIFS(Struc_W,ZIP_5,$A204,CES3Pctl,"&gt;=" &amp;TEXT(Q$126,"0"))</f>
        <v>0</v>
      </c>
    </row>
    <row r="205" spans="1:17" s="4" customFormat="1" ht="15.75" thickBot="1" x14ac:dyDescent="0.3">
      <c r="A205" s="4">
        <f t="shared" si="94"/>
        <v>92173</v>
      </c>
      <c r="B205" s="6" t="str">
        <f t="shared" si="94"/>
        <v>S</v>
      </c>
      <c r="E205" s="84">
        <f t="shared" ca="1" si="86"/>
        <v>3</v>
      </c>
      <c r="F205" s="92">
        <f t="shared" ca="1" si="87"/>
        <v>8865300</v>
      </c>
      <c r="G205" s="12">
        <f t="shared" ca="1" si="88"/>
        <v>1</v>
      </c>
      <c r="H205" s="91">
        <f t="shared" ca="1" si="89"/>
        <v>6275300</v>
      </c>
      <c r="I205" s="12">
        <f t="shared" ca="1" si="90"/>
        <v>1</v>
      </c>
      <c r="J205" s="91">
        <f t="shared" ca="1" si="91"/>
        <v>1815000</v>
      </c>
      <c r="K205" s="12">
        <f t="shared" ca="1" si="92"/>
        <v>1</v>
      </c>
      <c r="L205" s="91">
        <f t="shared" ca="1" si="93"/>
        <v>775000</v>
      </c>
      <c r="N205" s="12">
        <f t="array" aca="1" ref="N205" ca="1">COUNTIFS(ZIP_5,$A205,Site_Sum_W,"&gt;0",CES3Pctl,"&gt;=" &amp;TEXT($O$126,"0"))</f>
        <v>3</v>
      </c>
      <c r="O205" s="91">
        <f t="array" aca="1" ref="O205" ca="1">SUMIFS(Site_Sum_W,ZIP_5,$A205,CES3Pctl,"&gt;=" &amp;TEXT(O$126,"0"))</f>
        <v>8865300</v>
      </c>
      <c r="P205" s="12">
        <f t="array" aca="1" ref="P205" ca="1">COUNTIFS(ZIP_5,$A205,Struc_W,"&gt;0",CES3Pctl,"&gt;=" &amp;TEXT($O$126,"0"))</f>
        <v>33</v>
      </c>
      <c r="Q205" s="91">
        <f t="array" aca="1" ref="Q205" ca="1">SUMIFS(Struc_W,ZIP_5,$A205,CES3Pctl,"&gt;=" &amp;TEXT(Q$126,"0"))</f>
        <v>8865300</v>
      </c>
    </row>
    <row r="206" spans="1:17" s="4" customFormat="1" ht="15.75" hidden="1" thickBot="1" x14ac:dyDescent="0.3">
      <c r="A206" s="4">
        <f t="shared" si="94"/>
        <v>92174</v>
      </c>
      <c r="B206" s="6">
        <f t="shared" si="94"/>
        <v>0</v>
      </c>
      <c r="E206" s="84">
        <f t="shared" ca="1" si="86"/>
        <v>0</v>
      </c>
      <c r="F206" s="92">
        <f t="shared" ca="1" si="87"/>
        <v>0</v>
      </c>
      <c r="G206" s="12">
        <f t="shared" ca="1" si="88"/>
        <v>0</v>
      </c>
      <c r="H206" s="91">
        <f t="shared" ca="1" si="89"/>
        <v>0</v>
      </c>
      <c r="I206" s="12">
        <f t="shared" ca="1" si="90"/>
        <v>0</v>
      </c>
      <c r="J206" s="91">
        <f t="shared" ca="1" si="91"/>
        <v>0</v>
      </c>
      <c r="K206" s="12">
        <f t="shared" ca="1" si="92"/>
        <v>0</v>
      </c>
      <c r="L206" s="91">
        <f t="shared" ca="1" si="93"/>
        <v>0</v>
      </c>
      <c r="N206" s="12">
        <f t="array" aca="1" ref="N206" ca="1">COUNTIFS(ZIP_5,$A206,Site_Sum_W,"&gt;0",CES3Pctl,"&gt;=" &amp;TEXT($O$126,"0"))</f>
        <v>0</v>
      </c>
      <c r="O206" s="91">
        <f t="array" aca="1" ref="O206" ca="1">SUMIFS(Site_Sum_W,ZIP_5,$A206,CES3Pctl,"&gt;=" &amp;TEXT(O$126,"0"))</f>
        <v>0</v>
      </c>
      <c r="P206" s="12">
        <f t="array" aca="1" ref="P206" ca="1">COUNTIFS(ZIP_5,$A206,Struc_W,"&gt;0",CES3Pctl,"&gt;=" &amp;TEXT($O$126,"0"))</f>
        <v>0</v>
      </c>
      <c r="Q206" s="91">
        <f t="array" aca="1" ref="Q206" ca="1">SUMIFS(Struc_W,ZIP_5,$A206,CES3Pctl,"&gt;=" &amp;TEXT(Q$126,"0"))</f>
        <v>0</v>
      </c>
    </row>
    <row r="207" spans="1:17" s="4" customFormat="1" ht="15.75" hidden="1" thickBot="1" x14ac:dyDescent="0.3">
      <c r="A207" s="4">
        <f t="shared" si="94"/>
        <v>92175</v>
      </c>
      <c r="B207" s="6">
        <f t="shared" si="94"/>
        <v>0</v>
      </c>
      <c r="E207" s="84">
        <f t="shared" ca="1" si="86"/>
        <v>0</v>
      </c>
      <c r="F207" s="92">
        <f t="shared" ca="1" si="87"/>
        <v>0</v>
      </c>
      <c r="G207" s="12">
        <f t="shared" ca="1" si="88"/>
        <v>0</v>
      </c>
      <c r="H207" s="91">
        <f t="shared" ca="1" si="89"/>
        <v>0</v>
      </c>
      <c r="I207" s="12">
        <f t="shared" ca="1" si="90"/>
        <v>0</v>
      </c>
      <c r="J207" s="91">
        <f t="shared" ca="1" si="91"/>
        <v>0</v>
      </c>
      <c r="K207" s="12">
        <f t="shared" ca="1" si="92"/>
        <v>0</v>
      </c>
      <c r="L207" s="91">
        <f t="shared" ca="1" si="93"/>
        <v>0</v>
      </c>
      <c r="N207" s="12">
        <f t="array" aca="1" ref="N207" ca="1">COUNTIFS(ZIP_5,$A207,Site_Sum_W,"&gt;0",CES3Pctl,"&gt;=" &amp;TEXT($O$126,"0"))</f>
        <v>0</v>
      </c>
      <c r="O207" s="91">
        <f t="array" aca="1" ref="O207" ca="1">SUMIFS(Site_Sum_W,ZIP_5,$A207,CES3Pctl,"&gt;=" &amp;TEXT(O$126,"0"))</f>
        <v>0</v>
      </c>
      <c r="P207" s="12">
        <f t="array" aca="1" ref="P207" ca="1">COUNTIFS(ZIP_5,$A207,Struc_W,"&gt;0",CES3Pctl,"&gt;=" &amp;TEXT($O$126,"0"))</f>
        <v>0</v>
      </c>
      <c r="Q207" s="91">
        <f t="array" aca="1" ref="Q207" ca="1">SUMIFS(Struc_W,ZIP_5,$A207,CES3Pctl,"&gt;=" &amp;TEXT(Q$126,"0"))</f>
        <v>0</v>
      </c>
    </row>
    <row r="208" spans="1:17" s="4" customFormat="1" ht="15.75" hidden="1" thickBot="1" x14ac:dyDescent="0.3">
      <c r="A208" s="4">
        <f t="shared" si="94"/>
        <v>92176</v>
      </c>
      <c r="B208" s="6">
        <f t="shared" si="94"/>
        <v>0</v>
      </c>
      <c r="E208" s="84">
        <f t="shared" ca="1" si="86"/>
        <v>0</v>
      </c>
      <c r="F208" s="92">
        <f t="shared" ca="1" si="87"/>
        <v>0</v>
      </c>
      <c r="G208" s="12">
        <f t="shared" ca="1" si="88"/>
        <v>0</v>
      </c>
      <c r="H208" s="91">
        <f t="shared" ca="1" si="89"/>
        <v>0</v>
      </c>
      <c r="I208" s="12">
        <f t="shared" ca="1" si="90"/>
        <v>0</v>
      </c>
      <c r="J208" s="91">
        <f t="shared" ca="1" si="91"/>
        <v>0</v>
      </c>
      <c r="K208" s="12">
        <f t="shared" ca="1" si="92"/>
        <v>0</v>
      </c>
      <c r="L208" s="91">
        <f t="shared" ca="1" si="93"/>
        <v>0</v>
      </c>
      <c r="N208" s="12">
        <f t="array" aca="1" ref="N208" ca="1">COUNTIFS(ZIP_5,$A208,Site_Sum_W,"&gt;0",CES3Pctl,"&gt;=" &amp;TEXT($O$126,"0"))</f>
        <v>0</v>
      </c>
      <c r="O208" s="91">
        <f t="array" aca="1" ref="O208" ca="1">SUMIFS(Site_Sum_W,ZIP_5,$A208,CES3Pctl,"&gt;=" &amp;TEXT(O$126,"0"))</f>
        <v>0</v>
      </c>
      <c r="P208" s="12">
        <f t="array" aca="1" ref="P208" ca="1">COUNTIFS(ZIP_5,$A208,Struc_W,"&gt;0",CES3Pctl,"&gt;=" &amp;TEXT($O$126,"0"))</f>
        <v>0</v>
      </c>
      <c r="Q208" s="91">
        <f t="array" aca="1" ref="Q208" ca="1">SUMIFS(Struc_W,ZIP_5,$A208,CES3Pctl,"&gt;=" &amp;TEXT(Q$126,"0"))</f>
        <v>0</v>
      </c>
    </row>
    <row r="209" spans="1:17" s="4" customFormat="1" ht="15.75" hidden="1" thickBot="1" x14ac:dyDescent="0.3">
      <c r="A209" s="4">
        <f t="shared" si="94"/>
        <v>92177</v>
      </c>
      <c r="B209" s="6">
        <f t="shared" si="94"/>
        <v>0</v>
      </c>
      <c r="E209" s="84">
        <f t="shared" ca="1" si="86"/>
        <v>0</v>
      </c>
      <c r="F209" s="92">
        <f t="shared" ca="1" si="87"/>
        <v>0</v>
      </c>
      <c r="G209" s="12">
        <f t="shared" ca="1" si="88"/>
        <v>0</v>
      </c>
      <c r="H209" s="91">
        <f t="shared" ca="1" si="89"/>
        <v>0</v>
      </c>
      <c r="I209" s="12">
        <f t="shared" ca="1" si="90"/>
        <v>0</v>
      </c>
      <c r="J209" s="91">
        <f t="shared" ca="1" si="91"/>
        <v>0</v>
      </c>
      <c r="K209" s="12">
        <f t="shared" ca="1" si="92"/>
        <v>0</v>
      </c>
      <c r="L209" s="91">
        <f t="shared" ca="1" si="93"/>
        <v>0</v>
      </c>
      <c r="N209" s="12">
        <f t="array" aca="1" ref="N209" ca="1">COUNTIFS(ZIP_5,$A209,Site_Sum_W,"&gt;0",CES3Pctl,"&gt;=" &amp;TEXT($O$126,"0"))</f>
        <v>0</v>
      </c>
      <c r="O209" s="91">
        <f t="array" aca="1" ref="O209" ca="1">SUMIFS(Site_Sum_W,ZIP_5,$A209,CES3Pctl,"&gt;=" &amp;TEXT(O$126,"0"))</f>
        <v>0</v>
      </c>
      <c r="P209" s="12">
        <f t="array" aca="1" ref="P209" ca="1">COUNTIFS(ZIP_5,$A209,Struc_W,"&gt;0",CES3Pctl,"&gt;=" &amp;TEXT($O$126,"0"))</f>
        <v>0</v>
      </c>
      <c r="Q209" s="91">
        <f t="array" aca="1" ref="Q209" ca="1">SUMIFS(Struc_W,ZIP_5,$A209,CES3Pctl,"&gt;=" &amp;TEXT(Q$126,"0"))</f>
        <v>0</v>
      </c>
    </row>
    <row r="210" spans="1:17" s="4" customFormat="1" ht="15.75" hidden="1" thickBot="1" x14ac:dyDescent="0.3">
      <c r="A210" s="4">
        <f t="shared" si="94"/>
        <v>92178</v>
      </c>
      <c r="B210" s="6">
        <f t="shared" si="94"/>
        <v>0</v>
      </c>
      <c r="E210" s="84">
        <f t="shared" ca="1" si="86"/>
        <v>0</v>
      </c>
      <c r="F210" s="92">
        <f t="shared" ca="1" si="87"/>
        <v>0</v>
      </c>
      <c r="G210" s="12">
        <f t="shared" ca="1" si="88"/>
        <v>0</v>
      </c>
      <c r="H210" s="91">
        <f t="shared" ca="1" si="89"/>
        <v>0</v>
      </c>
      <c r="I210" s="12">
        <f t="shared" ca="1" si="90"/>
        <v>0</v>
      </c>
      <c r="J210" s="91">
        <f t="shared" ca="1" si="91"/>
        <v>0</v>
      </c>
      <c r="K210" s="12">
        <f t="shared" ca="1" si="92"/>
        <v>0</v>
      </c>
      <c r="L210" s="91">
        <f t="shared" ca="1" si="93"/>
        <v>0</v>
      </c>
      <c r="N210" s="12">
        <f t="array" aca="1" ref="N210" ca="1">COUNTIFS(ZIP_5,$A210,Site_Sum_W,"&gt;0",CES3Pctl,"&gt;=" &amp;TEXT($O$126,"0"))</f>
        <v>0</v>
      </c>
      <c r="O210" s="91">
        <f t="array" aca="1" ref="O210" ca="1">SUMIFS(Site_Sum_W,ZIP_5,$A210,CES3Pctl,"&gt;=" &amp;TEXT(O$126,"0"))</f>
        <v>0</v>
      </c>
      <c r="P210" s="12">
        <f t="array" aca="1" ref="P210" ca="1">COUNTIFS(ZIP_5,$A210,Struc_W,"&gt;0",CES3Pctl,"&gt;=" &amp;TEXT($O$126,"0"))</f>
        <v>0</v>
      </c>
      <c r="Q210" s="91">
        <f t="array" aca="1" ref="Q210" ca="1">SUMIFS(Struc_W,ZIP_5,$A210,CES3Pctl,"&gt;=" &amp;TEXT(Q$126,"0"))</f>
        <v>0</v>
      </c>
    </row>
    <row r="211" spans="1:17" s="4" customFormat="1" ht="15.75" hidden="1" thickBot="1" x14ac:dyDescent="0.3">
      <c r="A211" s="4">
        <f t="shared" si="94"/>
        <v>92179</v>
      </c>
      <c r="B211" s="6">
        <f t="shared" si="94"/>
        <v>0</v>
      </c>
      <c r="E211" s="84">
        <f t="shared" ca="1" si="86"/>
        <v>0</v>
      </c>
      <c r="F211" s="92">
        <f t="shared" ca="1" si="87"/>
        <v>0</v>
      </c>
      <c r="G211" s="12">
        <f t="shared" ca="1" si="88"/>
        <v>0</v>
      </c>
      <c r="H211" s="91">
        <f t="shared" ca="1" si="89"/>
        <v>0</v>
      </c>
      <c r="I211" s="12">
        <f t="shared" ca="1" si="90"/>
        <v>0</v>
      </c>
      <c r="J211" s="91">
        <f t="shared" ca="1" si="91"/>
        <v>0</v>
      </c>
      <c r="K211" s="12">
        <f t="shared" ca="1" si="92"/>
        <v>0</v>
      </c>
      <c r="L211" s="91">
        <f t="shared" ca="1" si="93"/>
        <v>0</v>
      </c>
      <c r="N211" s="12">
        <f t="array" aca="1" ref="N211" ca="1">COUNTIFS(ZIP_5,$A211,Site_Sum_W,"&gt;0",CES3Pctl,"&gt;=" &amp;TEXT($O$126,"0"))</f>
        <v>0</v>
      </c>
      <c r="O211" s="91">
        <f t="array" aca="1" ref="O211" ca="1">SUMIFS(Site_Sum_W,ZIP_5,$A211,CES3Pctl,"&gt;=" &amp;TEXT(O$126,"0"))</f>
        <v>0</v>
      </c>
      <c r="P211" s="12">
        <f t="array" aca="1" ref="P211" ca="1">COUNTIFS(ZIP_5,$A211,Struc_W,"&gt;0",CES3Pctl,"&gt;=" &amp;TEXT($O$126,"0"))</f>
        <v>0</v>
      </c>
      <c r="Q211" s="91">
        <f t="array" aca="1" ref="Q211" ca="1">SUMIFS(Struc_W,ZIP_5,$A211,CES3Pctl,"&gt;=" &amp;TEXT(Q$126,"0"))</f>
        <v>0</v>
      </c>
    </row>
    <row r="212" spans="1:17" s="4" customFormat="1" ht="15.75" hidden="1" thickBot="1" x14ac:dyDescent="0.3">
      <c r="A212" s="58">
        <f t="shared" si="94"/>
        <v>92180</v>
      </c>
      <c r="B212" s="6">
        <f t="shared" si="94"/>
        <v>0</v>
      </c>
      <c r="E212" s="84">
        <f t="shared" ca="1" si="86"/>
        <v>0</v>
      </c>
      <c r="F212" s="92">
        <f t="shared" ca="1" si="87"/>
        <v>0</v>
      </c>
      <c r="G212" s="12">
        <f t="shared" ca="1" si="88"/>
        <v>0</v>
      </c>
      <c r="H212" s="91">
        <f t="shared" ca="1" si="89"/>
        <v>0</v>
      </c>
      <c r="I212" s="12">
        <f t="shared" ca="1" si="90"/>
        <v>0</v>
      </c>
      <c r="J212" s="91">
        <f t="shared" ca="1" si="91"/>
        <v>0</v>
      </c>
      <c r="K212" s="12">
        <f t="shared" ca="1" si="92"/>
        <v>0</v>
      </c>
      <c r="L212" s="91">
        <f t="shared" ca="1" si="93"/>
        <v>0</v>
      </c>
      <c r="N212" s="12">
        <f t="array" aca="1" ref="N212" ca="1">COUNTIFS(ZIP_5,$A212,Site_Sum_W,"&gt;0",CES3Pctl,"&gt;=" &amp;TEXT($O$126,"0"))</f>
        <v>0</v>
      </c>
      <c r="O212" s="91">
        <f t="array" aca="1" ref="O212" ca="1">SUMIFS(Site_Sum_W,ZIP_5,$A212,CES3Pctl,"&gt;=" &amp;TEXT(O$126,"0"))</f>
        <v>0</v>
      </c>
      <c r="P212" s="12">
        <f t="array" aca="1" ref="P212" ca="1">COUNTIFS(ZIP_5,$A212,Struc_W,"&gt;0",CES3Pctl,"&gt;=" &amp;TEXT($O$126,"0"))</f>
        <v>0</v>
      </c>
      <c r="Q212" s="91">
        <f t="array" aca="1" ref="Q212" ca="1">SUMIFS(Struc_W,ZIP_5,$A212,CES3Pctl,"&gt;=" &amp;TEXT(Q$126,"0"))</f>
        <v>0</v>
      </c>
    </row>
    <row r="213" spans="1:17" s="4" customFormat="1" ht="15.75" hidden="1" thickBot="1" x14ac:dyDescent="0.3">
      <c r="A213" s="58">
        <f t="shared" si="94"/>
        <v>92181</v>
      </c>
      <c r="B213" s="6">
        <f t="shared" si="94"/>
        <v>0</v>
      </c>
      <c r="E213" s="84">
        <f t="shared" ca="1" si="86"/>
        <v>0</v>
      </c>
      <c r="F213" s="92">
        <f t="shared" ca="1" si="87"/>
        <v>0</v>
      </c>
      <c r="G213" s="12">
        <f t="shared" ca="1" si="88"/>
        <v>0</v>
      </c>
      <c r="H213" s="91">
        <f t="shared" ca="1" si="89"/>
        <v>0</v>
      </c>
      <c r="I213" s="12">
        <f t="shared" ca="1" si="90"/>
        <v>0</v>
      </c>
      <c r="J213" s="91">
        <f t="shared" ca="1" si="91"/>
        <v>0</v>
      </c>
      <c r="K213" s="12">
        <f t="shared" ca="1" si="92"/>
        <v>0</v>
      </c>
      <c r="L213" s="91">
        <f t="shared" ca="1" si="93"/>
        <v>0</v>
      </c>
      <c r="N213" s="12">
        <f t="array" aca="1" ref="N213" ca="1">COUNTIFS(ZIP_5,$A213,Site_Sum_W,"&gt;0",CES3Pctl,"&gt;=" &amp;TEXT($O$126,"0"))</f>
        <v>0</v>
      </c>
      <c r="O213" s="91">
        <f t="array" aca="1" ref="O213" ca="1">SUMIFS(Site_Sum_W,ZIP_5,$A213,CES3Pctl,"&gt;=" &amp;TEXT(O$126,"0"))</f>
        <v>0</v>
      </c>
      <c r="P213" s="12">
        <f t="array" aca="1" ref="P213" ca="1">COUNTIFS(ZIP_5,$A213,Struc_W,"&gt;0",CES3Pctl,"&gt;=" &amp;TEXT($O$126,"0"))</f>
        <v>0</v>
      </c>
      <c r="Q213" s="91">
        <f t="array" aca="1" ref="Q213" ca="1">SUMIFS(Struc_W,ZIP_5,$A213,CES3Pctl,"&gt;=" &amp;TEXT(Q$126,"0"))</f>
        <v>0</v>
      </c>
    </row>
    <row r="214" spans="1:17" s="4" customFormat="1" ht="15.75" thickBot="1" x14ac:dyDescent="0.3">
      <c r="A214" s="4">
        <f t="shared" si="94"/>
        <v>92182</v>
      </c>
      <c r="B214" s="6" t="str">
        <f t="shared" si="94"/>
        <v>S</v>
      </c>
      <c r="E214" s="84">
        <f t="shared" ca="1" si="86"/>
        <v>1</v>
      </c>
      <c r="F214" s="92">
        <f t="shared" ca="1" si="87"/>
        <v>8522500</v>
      </c>
      <c r="G214" s="12">
        <f t="shared" ca="1" si="88"/>
        <v>1</v>
      </c>
      <c r="H214" s="91">
        <f t="shared" ca="1" si="89"/>
        <v>8522500</v>
      </c>
      <c r="I214" s="12">
        <f t="shared" ca="1" si="90"/>
        <v>0</v>
      </c>
      <c r="J214" s="91">
        <f t="shared" ca="1" si="91"/>
        <v>0</v>
      </c>
      <c r="K214" s="12">
        <f t="shared" ca="1" si="92"/>
        <v>0</v>
      </c>
      <c r="L214" s="91">
        <f t="shared" ca="1" si="93"/>
        <v>0</v>
      </c>
      <c r="N214" s="12">
        <f t="array" aca="1" ref="N214" ca="1">COUNTIFS(ZIP_5,$A214,Site_Sum_W,"&gt;0",CES3Pctl,"&gt;=" &amp;TEXT($O$126,"0"))</f>
        <v>0</v>
      </c>
      <c r="O214" s="91">
        <f t="array" aca="1" ref="O214" ca="1">SUMIFS(Site_Sum_W,ZIP_5,$A214,CES3Pctl,"&gt;=" &amp;TEXT(O$126,"0"))</f>
        <v>0</v>
      </c>
      <c r="P214" s="12">
        <f t="array" aca="1" ref="P214" ca="1">COUNTIFS(ZIP_5,$A214,Struc_W,"&gt;0",CES3Pctl,"&gt;=" &amp;TEXT($O$126,"0"))</f>
        <v>0</v>
      </c>
      <c r="Q214" s="91">
        <f t="array" aca="1" ref="Q214" ca="1">SUMIFS(Struc_W,ZIP_5,$A214,CES3Pctl,"&gt;=" &amp;TEXT(Q$126,"0"))</f>
        <v>0</v>
      </c>
    </row>
    <row r="215" spans="1:17" s="4" customFormat="1" ht="15.75" hidden="1" thickBot="1" x14ac:dyDescent="0.3">
      <c r="A215" s="58">
        <f t="shared" si="94"/>
        <v>92183</v>
      </c>
      <c r="B215" s="6">
        <f t="shared" si="94"/>
        <v>0</v>
      </c>
      <c r="E215" s="84">
        <f t="shared" ca="1" si="86"/>
        <v>0</v>
      </c>
      <c r="F215" s="92">
        <f t="shared" ca="1" si="87"/>
        <v>0</v>
      </c>
      <c r="G215" s="12">
        <f t="shared" ca="1" si="88"/>
        <v>0</v>
      </c>
      <c r="H215" s="91">
        <f t="shared" ca="1" si="89"/>
        <v>0</v>
      </c>
      <c r="I215" s="12">
        <f t="shared" ca="1" si="90"/>
        <v>0</v>
      </c>
      <c r="J215" s="91">
        <f t="shared" ca="1" si="91"/>
        <v>0</v>
      </c>
      <c r="K215" s="12">
        <f t="shared" ca="1" si="92"/>
        <v>0</v>
      </c>
      <c r="L215" s="91">
        <f t="shared" ca="1" si="93"/>
        <v>0</v>
      </c>
      <c r="N215" s="12">
        <f t="array" aca="1" ref="N215" ca="1">COUNTIFS(ZIP_5,$A215,Site_Sum_W,"&gt;0",CES3Pctl,"&gt;=" &amp;TEXT($O$126,"0"))</f>
        <v>0</v>
      </c>
      <c r="O215" s="91">
        <f t="array" aca="1" ref="O215" ca="1">SUMIFS(Site_Sum_W,ZIP_5,$A215,CES3Pctl,"&gt;=" &amp;TEXT(O$126,"0"))</f>
        <v>0</v>
      </c>
      <c r="P215" s="12">
        <f t="array" aca="1" ref="P215" ca="1">COUNTIFS(ZIP_5,$A215,Struc_W,"&gt;0",CES3Pctl,"&gt;=" &amp;TEXT($O$126,"0"))</f>
        <v>0</v>
      </c>
      <c r="Q215" s="91">
        <f t="array" aca="1" ref="Q215" ca="1">SUMIFS(Struc_W,ZIP_5,$A215,CES3Pctl,"&gt;=" &amp;TEXT(Q$126,"0"))</f>
        <v>0</v>
      </c>
    </row>
    <row r="216" spans="1:17" s="4" customFormat="1" ht="15.75" hidden="1" thickBot="1" x14ac:dyDescent="0.3">
      <c r="A216" s="58">
        <f t="shared" si="94"/>
        <v>92184</v>
      </c>
      <c r="B216" s="6">
        <f t="shared" si="94"/>
        <v>0</v>
      </c>
      <c r="E216" s="84">
        <f t="shared" ca="1" si="86"/>
        <v>0</v>
      </c>
      <c r="F216" s="92">
        <f t="shared" ca="1" si="87"/>
        <v>0</v>
      </c>
      <c r="G216" s="12">
        <f t="shared" ca="1" si="88"/>
        <v>0</v>
      </c>
      <c r="H216" s="91">
        <f t="shared" ca="1" si="89"/>
        <v>0</v>
      </c>
      <c r="I216" s="12">
        <f t="shared" ca="1" si="90"/>
        <v>0</v>
      </c>
      <c r="J216" s="91">
        <f t="shared" ca="1" si="91"/>
        <v>0</v>
      </c>
      <c r="K216" s="12">
        <f t="shared" ca="1" si="92"/>
        <v>0</v>
      </c>
      <c r="L216" s="91">
        <f t="shared" ca="1" si="93"/>
        <v>0</v>
      </c>
      <c r="N216" s="12">
        <f t="array" aca="1" ref="N216" ca="1">COUNTIFS(ZIP_5,$A216,Site_Sum_W,"&gt;0",CES3Pctl,"&gt;=" &amp;TEXT($O$126,"0"))</f>
        <v>0</v>
      </c>
      <c r="O216" s="91">
        <f t="array" aca="1" ref="O216" ca="1">SUMIFS(Site_Sum_W,ZIP_5,$A216,CES3Pctl,"&gt;=" &amp;TEXT(O$126,"0"))</f>
        <v>0</v>
      </c>
      <c r="P216" s="12">
        <f t="array" aca="1" ref="P216" ca="1">COUNTIFS(ZIP_5,$A216,Struc_W,"&gt;0",CES3Pctl,"&gt;=" &amp;TEXT($O$126,"0"))</f>
        <v>0</v>
      </c>
      <c r="Q216" s="91">
        <f t="array" aca="1" ref="Q216" ca="1">SUMIFS(Struc_W,ZIP_5,$A216,CES3Pctl,"&gt;=" &amp;TEXT(Q$126,"0"))</f>
        <v>0</v>
      </c>
    </row>
    <row r="217" spans="1:17" s="4" customFormat="1" ht="15.75" hidden="1" thickBot="1" x14ac:dyDescent="0.3">
      <c r="A217" s="58">
        <f t="shared" si="94"/>
        <v>92185</v>
      </c>
      <c r="B217" s="6">
        <f t="shared" si="94"/>
        <v>0</v>
      </c>
      <c r="E217" s="84">
        <f t="shared" ca="1" si="86"/>
        <v>0</v>
      </c>
      <c r="F217" s="92">
        <f t="shared" ca="1" si="87"/>
        <v>0</v>
      </c>
      <c r="G217" s="12">
        <f t="shared" ca="1" si="88"/>
        <v>0</v>
      </c>
      <c r="H217" s="91">
        <f t="shared" ca="1" si="89"/>
        <v>0</v>
      </c>
      <c r="I217" s="12">
        <f t="shared" ca="1" si="90"/>
        <v>0</v>
      </c>
      <c r="J217" s="91">
        <f t="shared" ca="1" si="91"/>
        <v>0</v>
      </c>
      <c r="K217" s="12">
        <f t="shared" ca="1" si="92"/>
        <v>0</v>
      </c>
      <c r="L217" s="91">
        <f t="shared" ca="1" si="93"/>
        <v>0</v>
      </c>
      <c r="N217" s="12">
        <f t="array" aca="1" ref="N217" ca="1">COUNTIFS(ZIP_5,$A217,Site_Sum_W,"&gt;0",CES3Pctl,"&gt;=" &amp;TEXT($O$126,"0"))</f>
        <v>0</v>
      </c>
      <c r="O217" s="91">
        <f t="array" aca="1" ref="O217" ca="1">SUMIFS(Site_Sum_W,ZIP_5,$A217,CES3Pctl,"&gt;=" &amp;TEXT(O$126,"0"))</f>
        <v>0</v>
      </c>
      <c r="P217" s="12">
        <f t="array" aca="1" ref="P217" ca="1">COUNTIFS(ZIP_5,$A217,Struc_W,"&gt;0",CES3Pctl,"&gt;=" &amp;TEXT($O$126,"0"))</f>
        <v>0</v>
      </c>
      <c r="Q217" s="91">
        <f t="array" aca="1" ref="Q217" ca="1">SUMIFS(Struc_W,ZIP_5,$A217,CES3Pctl,"&gt;=" &amp;TEXT(Q$126,"0"))</f>
        <v>0</v>
      </c>
    </row>
    <row r="218" spans="1:17" s="4" customFormat="1" ht="15.75" hidden="1" thickBot="1" x14ac:dyDescent="0.3">
      <c r="A218" s="4">
        <f t="shared" si="94"/>
        <v>92186</v>
      </c>
      <c r="B218" s="6">
        <f t="shared" si="94"/>
        <v>0</v>
      </c>
      <c r="E218" s="84">
        <f t="shared" ca="1" si="86"/>
        <v>0</v>
      </c>
      <c r="F218" s="92">
        <f t="shared" ca="1" si="87"/>
        <v>0</v>
      </c>
      <c r="G218" s="12">
        <f t="shared" ca="1" si="88"/>
        <v>0</v>
      </c>
      <c r="H218" s="91">
        <f t="shared" ca="1" si="89"/>
        <v>0</v>
      </c>
      <c r="I218" s="12">
        <f t="shared" ca="1" si="90"/>
        <v>0</v>
      </c>
      <c r="J218" s="91">
        <f t="shared" ca="1" si="91"/>
        <v>0</v>
      </c>
      <c r="K218" s="12">
        <f t="shared" ca="1" si="92"/>
        <v>0</v>
      </c>
      <c r="L218" s="91">
        <f t="shared" ca="1" si="93"/>
        <v>0</v>
      </c>
      <c r="N218" s="12">
        <f t="array" aca="1" ref="N218" ca="1">COUNTIFS(ZIP_5,$A218,Site_Sum_W,"&gt;0",CES3Pctl,"&gt;=" &amp;TEXT($O$126,"0"))</f>
        <v>0</v>
      </c>
      <c r="O218" s="91">
        <f t="array" aca="1" ref="O218" ca="1">SUMIFS(Site_Sum_W,ZIP_5,$A218,CES3Pctl,"&gt;=" &amp;TEXT(O$126,"0"))</f>
        <v>0</v>
      </c>
      <c r="P218" s="12">
        <f t="array" aca="1" ref="P218" ca="1">COUNTIFS(ZIP_5,$A218,Struc_W,"&gt;0",CES3Pctl,"&gt;=" &amp;TEXT($O$126,"0"))</f>
        <v>0</v>
      </c>
      <c r="Q218" s="91">
        <f t="array" aca="1" ref="Q218" ca="1">SUMIFS(Struc_W,ZIP_5,$A218,CES3Pctl,"&gt;=" &amp;TEXT(Q$126,"0"))</f>
        <v>0</v>
      </c>
    </row>
    <row r="219" spans="1:17" s="4" customFormat="1" ht="15.75" hidden="1" thickBot="1" x14ac:dyDescent="0.3">
      <c r="A219" s="4">
        <f t="shared" si="94"/>
        <v>92187</v>
      </c>
      <c r="B219" s="6">
        <f t="shared" si="94"/>
        <v>0</v>
      </c>
      <c r="E219" s="84">
        <f t="shared" ca="1" si="86"/>
        <v>0</v>
      </c>
      <c r="F219" s="92">
        <f t="shared" ca="1" si="87"/>
        <v>0</v>
      </c>
      <c r="G219" s="12">
        <f t="shared" ca="1" si="88"/>
        <v>0</v>
      </c>
      <c r="H219" s="91">
        <f t="shared" ca="1" si="89"/>
        <v>0</v>
      </c>
      <c r="I219" s="12">
        <f t="shared" ca="1" si="90"/>
        <v>0</v>
      </c>
      <c r="J219" s="91">
        <f t="shared" ca="1" si="91"/>
        <v>0</v>
      </c>
      <c r="K219" s="12">
        <f t="shared" ca="1" si="92"/>
        <v>0</v>
      </c>
      <c r="L219" s="91">
        <f t="shared" ca="1" si="93"/>
        <v>0</v>
      </c>
      <c r="N219" s="12">
        <f t="array" aca="1" ref="N219" ca="1">COUNTIFS(ZIP_5,$A219,Site_Sum_W,"&gt;0",CES3Pctl,"&gt;=" &amp;TEXT($O$126,"0"))</f>
        <v>0</v>
      </c>
      <c r="O219" s="91">
        <f t="array" aca="1" ref="O219" ca="1">SUMIFS(Site_Sum_W,ZIP_5,$A219,CES3Pctl,"&gt;=" &amp;TEXT(O$126,"0"))</f>
        <v>0</v>
      </c>
      <c r="P219" s="12">
        <f t="array" aca="1" ref="P219" ca="1">COUNTIFS(ZIP_5,$A219,Struc_W,"&gt;0",CES3Pctl,"&gt;=" &amp;TEXT($O$126,"0"))</f>
        <v>0</v>
      </c>
      <c r="Q219" s="91">
        <f t="array" aca="1" ref="Q219" ca="1">SUMIFS(Struc_W,ZIP_5,$A219,CES3Pctl,"&gt;=" &amp;TEXT(Q$126,"0"))</f>
        <v>0</v>
      </c>
    </row>
    <row r="220" spans="1:17" s="4" customFormat="1" ht="15.75" hidden="1" thickBot="1" x14ac:dyDescent="0.3">
      <c r="A220" s="58">
        <f t="shared" si="94"/>
        <v>92188</v>
      </c>
      <c r="B220" s="6">
        <f t="shared" si="94"/>
        <v>0</v>
      </c>
      <c r="E220" s="84">
        <f t="shared" ca="1" si="86"/>
        <v>0</v>
      </c>
      <c r="F220" s="92">
        <f t="shared" ca="1" si="87"/>
        <v>0</v>
      </c>
      <c r="G220" s="12">
        <f t="shared" ca="1" si="88"/>
        <v>0</v>
      </c>
      <c r="H220" s="91">
        <f t="shared" ca="1" si="89"/>
        <v>0</v>
      </c>
      <c r="I220" s="12">
        <f t="shared" ca="1" si="90"/>
        <v>0</v>
      </c>
      <c r="J220" s="91">
        <f t="shared" ca="1" si="91"/>
        <v>0</v>
      </c>
      <c r="K220" s="12">
        <f t="shared" ca="1" si="92"/>
        <v>0</v>
      </c>
      <c r="L220" s="91">
        <f t="shared" ca="1" si="93"/>
        <v>0</v>
      </c>
      <c r="N220" s="12">
        <f t="array" aca="1" ref="N220" ca="1">COUNTIFS(ZIP_5,$A220,Site_Sum_W,"&gt;0",CES3Pctl,"&gt;=" &amp;TEXT($O$126,"0"))</f>
        <v>0</v>
      </c>
      <c r="O220" s="91">
        <f t="array" aca="1" ref="O220" ca="1">SUMIFS(Site_Sum_W,ZIP_5,$A220,CES3Pctl,"&gt;=" &amp;TEXT(O$126,"0"))</f>
        <v>0</v>
      </c>
      <c r="P220" s="12">
        <f t="array" aca="1" ref="P220" ca="1">COUNTIFS(ZIP_5,$A220,Struc_W,"&gt;0",CES3Pctl,"&gt;=" &amp;TEXT($O$126,"0"))</f>
        <v>0</v>
      </c>
      <c r="Q220" s="91">
        <f t="array" aca="1" ref="Q220" ca="1">SUMIFS(Struc_W,ZIP_5,$A220,CES3Pctl,"&gt;=" &amp;TEXT(Q$126,"0"))</f>
        <v>0</v>
      </c>
    </row>
    <row r="221" spans="1:17" s="4" customFormat="1" ht="15.75" hidden="1" thickBot="1" x14ac:dyDescent="0.3">
      <c r="A221" s="58">
        <f t="shared" si="94"/>
        <v>92189</v>
      </c>
      <c r="B221" s="6">
        <f t="shared" si="94"/>
        <v>0</v>
      </c>
      <c r="E221" s="84">
        <f t="shared" ca="1" si="86"/>
        <v>0</v>
      </c>
      <c r="F221" s="92">
        <f t="shared" ca="1" si="87"/>
        <v>0</v>
      </c>
      <c r="G221" s="12">
        <f t="shared" ca="1" si="88"/>
        <v>0</v>
      </c>
      <c r="H221" s="91">
        <f t="shared" ca="1" si="89"/>
        <v>0</v>
      </c>
      <c r="I221" s="12">
        <f t="shared" ca="1" si="90"/>
        <v>0</v>
      </c>
      <c r="J221" s="91">
        <f t="shared" ca="1" si="91"/>
        <v>0</v>
      </c>
      <c r="K221" s="12">
        <f t="shared" ca="1" si="92"/>
        <v>0</v>
      </c>
      <c r="L221" s="91">
        <f t="shared" ca="1" si="93"/>
        <v>0</v>
      </c>
      <c r="N221" s="12">
        <f t="array" aca="1" ref="N221" ca="1">COUNTIFS(ZIP_5,$A221,Site_Sum_W,"&gt;0",CES3Pctl,"&gt;=" &amp;TEXT($O$126,"0"))</f>
        <v>0</v>
      </c>
      <c r="O221" s="91">
        <f t="array" aca="1" ref="O221" ca="1">SUMIFS(Site_Sum_W,ZIP_5,$A221,CES3Pctl,"&gt;=" &amp;TEXT(O$126,"0"))</f>
        <v>0</v>
      </c>
      <c r="P221" s="12">
        <f t="array" aca="1" ref="P221" ca="1">COUNTIFS(ZIP_5,$A221,Struc_W,"&gt;0",CES3Pctl,"&gt;=" &amp;TEXT($O$126,"0"))</f>
        <v>0</v>
      </c>
      <c r="Q221" s="91">
        <f t="array" aca="1" ref="Q221" ca="1">SUMIFS(Struc_W,ZIP_5,$A221,CES3Pctl,"&gt;=" &amp;TEXT(Q$126,"0"))</f>
        <v>0</v>
      </c>
    </row>
    <row r="222" spans="1:17" s="4" customFormat="1" ht="15.75" hidden="1" thickBot="1" x14ac:dyDescent="0.3">
      <c r="A222" s="4">
        <f t="shared" si="94"/>
        <v>92190</v>
      </c>
      <c r="B222" s="6">
        <f t="shared" si="94"/>
        <v>0</v>
      </c>
      <c r="E222" s="84">
        <f t="shared" ca="1" si="86"/>
        <v>0</v>
      </c>
      <c r="F222" s="92">
        <f t="shared" ca="1" si="87"/>
        <v>0</v>
      </c>
      <c r="G222" s="12">
        <f t="shared" ca="1" si="88"/>
        <v>0</v>
      </c>
      <c r="H222" s="91">
        <f t="shared" ca="1" si="89"/>
        <v>0</v>
      </c>
      <c r="I222" s="12">
        <f t="shared" ca="1" si="90"/>
        <v>0</v>
      </c>
      <c r="J222" s="91">
        <f t="shared" ca="1" si="91"/>
        <v>0</v>
      </c>
      <c r="K222" s="12">
        <f t="shared" ca="1" si="92"/>
        <v>0</v>
      </c>
      <c r="L222" s="91">
        <f t="shared" ca="1" si="93"/>
        <v>0</v>
      </c>
      <c r="N222" s="12">
        <f t="array" aca="1" ref="N222" ca="1">COUNTIFS(ZIP_5,$A222,Site_Sum_W,"&gt;0",CES3Pctl,"&gt;=" &amp;TEXT($O$126,"0"))</f>
        <v>0</v>
      </c>
      <c r="O222" s="91">
        <f t="array" aca="1" ref="O222" ca="1">SUMIFS(Site_Sum_W,ZIP_5,$A222,CES3Pctl,"&gt;=" &amp;TEXT(O$126,"0"))</f>
        <v>0</v>
      </c>
      <c r="P222" s="12">
        <f t="array" aca="1" ref="P222" ca="1">COUNTIFS(ZIP_5,$A222,Struc_W,"&gt;0",CES3Pctl,"&gt;=" &amp;TEXT($O$126,"0"))</f>
        <v>0</v>
      </c>
      <c r="Q222" s="91">
        <f t="array" aca="1" ref="Q222" ca="1">SUMIFS(Struc_W,ZIP_5,$A222,CES3Pctl,"&gt;=" &amp;TEXT(Q$126,"0"))</f>
        <v>0</v>
      </c>
    </row>
    <row r="223" spans="1:17" s="4" customFormat="1" ht="15.75" hidden="1" thickBot="1" x14ac:dyDescent="0.3">
      <c r="A223" s="4">
        <f t="shared" si="94"/>
        <v>92191</v>
      </c>
      <c r="B223" s="6">
        <f t="shared" si="94"/>
        <v>0</v>
      </c>
      <c r="E223" s="84">
        <f t="shared" ca="1" si="86"/>
        <v>0</v>
      </c>
      <c r="F223" s="92">
        <f t="shared" ca="1" si="87"/>
        <v>0</v>
      </c>
      <c r="G223" s="12">
        <f t="shared" ca="1" si="88"/>
        <v>0</v>
      </c>
      <c r="H223" s="91">
        <f t="shared" ca="1" si="89"/>
        <v>0</v>
      </c>
      <c r="I223" s="12">
        <f t="shared" ca="1" si="90"/>
        <v>0</v>
      </c>
      <c r="J223" s="91">
        <f t="shared" ca="1" si="91"/>
        <v>0</v>
      </c>
      <c r="K223" s="12">
        <f t="shared" ca="1" si="92"/>
        <v>0</v>
      </c>
      <c r="L223" s="91">
        <f t="shared" ca="1" si="93"/>
        <v>0</v>
      </c>
      <c r="N223" s="12">
        <f t="array" aca="1" ref="N223" ca="1">COUNTIFS(ZIP_5,$A223,Site_Sum_W,"&gt;0",CES3Pctl,"&gt;=" &amp;TEXT($O$126,"0"))</f>
        <v>0</v>
      </c>
      <c r="O223" s="91">
        <f t="array" aca="1" ref="O223" ca="1">SUMIFS(Site_Sum_W,ZIP_5,$A223,CES3Pctl,"&gt;=" &amp;TEXT(O$126,"0"))</f>
        <v>0</v>
      </c>
      <c r="P223" s="12">
        <f t="array" aca="1" ref="P223" ca="1">COUNTIFS(ZIP_5,$A223,Struc_W,"&gt;0",CES3Pctl,"&gt;=" &amp;TEXT($O$126,"0"))</f>
        <v>0</v>
      </c>
      <c r="Q223" s="91">
        <f t="array" aca="1" ref="Q223" ca="1">SUMIFS(Struc_W,ZIP_5,$A223,CES3Pctl,"&gt;=" &amp;TEXT(Q$126,"0"))</f>
        <v>0</v>
      </c>
    </row>
    <row r="224" spans="1:17" s="4" customFormat="1" ht="15.75" hidden="1" thickBot="1" x14ac:dyDescent="0.3">
      <c r="A224" s="4">
        <f t="shared" si="94"/>
        <v>92192</v>
      </c>
      <c r="B224" s="6">
        <f t="shared" si="94"/>
        <v>0</v>
      </c>
      <c r="E224" s="84">
        <f t="shared" ca="1" si="86"/>
        <v>0</v>
      </c>
      <c r="F224" s="92">
        <f t="shared" ca="1" si="87"/>
        <v>0</v>
      </c>
      <c r="G224" s="12">
        <f t="shared" ca="1" si="88"/>
        <v>0</v>
      </c>
      <c r="H224" s="91">
        <f t="shared" ca="1" si="89"/>
        <v>0</v>
      </c>
      <c r="I224" s="12">
        <f t="shared" ca="1" si="90"/>
        <v>0</v>
      </c>
      <c r="J224" s="91">
        <f t="shared" ca="1" si="91"/>
        <v>0</v>
      </c>
      <c r="K224" s="12">
        <f t="shared" ca="1" si="92"/>
        <v>0</v>
      </c>
      <c r="L224" s="91">
        <f t="shared" ca="1" si="93"/>
        <v>0</v>
      </c>
      <c r="N224" s="12">
        <f t="array" aca="1" ref="N224" ca="1">COUNTIFS(ZIP_5,$A224,Site_Sum_W,"&gt;0",CES3Pctl,"&gt;=" &amp;TEXT($O$126,"0"))</f>
        <v>0</v>
      </c>
      <c r="O224" s="91">
        <f t="array" aca="1" ref="O224" ca="1">SUMIFS(Site_Sum_W,ZIP_5,$A224,CES3Pctl,"&gt;=" &amp;TEXT(O$126,"0"))</f>
        <v>0</v>
      </c>
      <c r="P224" s="12">
        <f t="array" aca="1" ref="P224" ca="1">COUNTIFS(ZIP_5,$A224,Struc_W,"&gt;0",CES3Pctl,"&gt;=" &amp;TEXT($O$126,"0"))</f>
        <v>0</v>
      </c>
      <c r="Q224" s="91">
        <f t="array" aca="1" ref="Q224" ca="1">SUMIFS(Struc_W,ZIP_5,$A224,CES3Pctl,"&gt;=" &amp;TEXT(Q$126,"0"))</f>
        <v>0</v>
      </c>
    </row>
    <row r="225" spans="1:22" s="4" customFormat="1" ht="15.75" hidden="1" thickBot="1" x14ac:dyDescent="0.3">
      <c r="A225" s="4">
        <f t="shared" si="94"/>
        <v>92193</v>
      </c>
      <c r="B225" s="6">
        <f t="shared" si="94"/>
        <v>0</v>
      </c>
      <c r="E225" s="84">
        <f t="shared" ca="1" si="86"/>
        <v>0</v>
      </c>
      <c r="F225" s="92">
        <f t="shared" ca="1" si="87"/>
        <v>0</v>
      </c>
      <c r="G225" s="12">
        <f t="shared" ca="1" si="88"/>
        <v>0</v>
      </c>
      <c r="H225" s="91">
        <f t="shared" ca="1" si="89"/>
        <v>0</v>
      </c>
      <c r="I225" s="12">
        <f t="shared" ca="1" si="90"/>
        <v>0</v>
      </c>
      <c r="J225" s="91">
        <f t="shared" ca="1" si="91"/>
        <v>0</v>
      </c>
      <c r="K225" s="12">
        <f t="shared" ca="1" si="92"/>
        <v>0</v>
      </c>
      <c r="L225" s="91">
        <f t="shared" ca="1" si="93"/>
        <v>0</v>
      </c>
      <c r="N225" s="12">
        <f t="array" aca="1" ref="N225" ca="1">COUNTIFS(ZIP_5,$A225,Site_Sum_W,"&gt;0",CES3Pctl,"&gt;=" &amp;TEXT($O$126,"0"))</f>
        <v>0</v>
      </c>
      <c r="O225" s="91">
        <f t="array" aca="1" ref="O225" ca="1">SUMIFS(Site_Sum_W,ZIP_5,$A225,CES3Pctl,"&gt;=" &amp;TEXT(O$126,"0"))</f>
        <v>0</v>
      </c>
      <c r="P225" s="12">
        <f t="array" aca="1" ref="P225" ca="1">COUNTIFS(ZIP_5,$A225,Struc_W,"&gt;0",CES3Pctl,"&gt;=" &amp;TEXT($O$126,"0"))</f>
        <v>0</v>
      </c>
      <c r="Q225" s="91">
        <f t="array" aca="1" ref="Q225" ca="1">SUMIFS(Struc_W,ZIP_5,$A225,CES3Pctl,"&gt;=" &amp;TEXT(Q$126,"0"))</f>
        <v>0</v>
      </c>
    </row>
    <row r="226" spans="1:22" s="4" customFormat="1" ht="15.75" hidden="1" thickBot="1" x14ac:dyDescent="0.3">
      <c r="A226" s="4">
        <f t="shared" si="94"/>
        <v>92194</v>
      </c>
      <c r="B226" s="6">
        <f t="shared" si="94"/>
        <v>0</v>
      </c>
      <c r="E226" s="84">
        <f t="shared" ca="1" si="86"/>
        <v>0</v>
      </c>
      <c r="F226" s="92">
        <f t="shared" ca="1" si="87"/>
        <v>0</v>
      </c>
      <c r="G226" s="12">
        <f t="shared" ca="1" si="88"/>
        <v>0</v>
      </c>
      <c r="H226" s="91">
        <f t="shared" ca="1" si="89"/>
        <v>0</v>
      </c>
      <c r="I226" s="12">
        <f t="shared" ca="1" si="90"/>
        <v>0</v>
      </c>
      <c r="J226" s="91">
        <f t="shared" ca="1" si="91"/>
        <v>0</v>
      </c>
      <c r="K226" s="12">
        <f t="shared" ca="1" si="92"/>
        <v>0</v>
      </c>
      <c r="L226" s="91">
        <f t="shared" ca="1" si="93"/>
        <v>0</v>
      </c>
      <c r="N226" s="12">
        <f t="array" aca="1" ref="N226" ca="1">COUNTIFS(ZIP_5,$A226,Site_Sum_W,"&gt;0",CES3Pctl,"&gt;=" &amp;TEXT($O$126,"0"))</f>
        <v>0</v>
      </c>
      <c r="O226" s="91">
        <f t="array" aca="1" ref="O226" ca="1">SUMIFS(Site_Sum_W,ZIP_5,$A226,CES3Pctl,"&gt;=" &amp;TEXT(O$126,"0"))</f>
        <v>0</v>
      </c>
      <c r="P226" s="12">
        <f t="array" aca="1" ref="P226" ca="1">COUNTIFS(ZIP_5,$A226,Struc_W,"&gt;0",CES3Pctl,"&gt;=" &amp;TEXT($O$126,"0"))</f>
        <v>0</v>
      </c>
      <c r="Q226" s="91">
        <f t="array" aca="1" ref="Q226" ca="1">SUMIFS(Struc_W,ZIP_5,$A226,CES3Pctl,"&gt;=" &amp;TEXT(Q$126,"0"))</f>
        <v>0</v>
      </c>
    </row>
    <row r="227" spans="1:22" s="4" customFormat="1" ht="15.75" hidden="1" thickBot="1" x14ac:dyDescent="0.3">
      <c r="A227" s="4">
        <f t="shared" si="94"/>
        <v>92195</v>
      </c>
      <c r="B227" s="6">
        <f t="shared" si="94"/>
        <v>0</v>
      </c>
      <c r="E227" s="84">
        <f t="shared" ca="1" si="86"/>
        <v>0</v>
      </c>
      <c r="F227" s="92">
        <f t="shared" ca="1" si="87"/>
        <v>0</v>
      </c>
      <c r="G227" s="12">
        <f ca="1">COUNTIFS(ZIP_5,$A227,Site_Sum_W,"&gt;=" &amp;TEXT(H$126,"0"))</f>
        <v>0</v>
      </c>
      <c r="H227" s="91">
        <f t="shared" ca="1" si="89"/>
        <v>0</v>
      </c>
      <c r="I227" s="12">
        <f ca="1">COUNTIFS(ZIP_5,$A227,Site_Sum_W,"&lt;" &amp;TEXT(H$126,"0"),Site_Sum_W,"&gt;=" &amp;TEXT($J$126,"0"))</f>
        <v>0</v>
      </c>
      <c r="J227" s="91">
        <f t="shared" ca="1" si="91"/>
        <v>0</v>
      </c>
      <c r="K227" s="12">
        <f ca="1">COUNTIFS(ZIP_5,$A227,Site_Sum_W,"&lt;"&amp;TEXT(L$126,"0"),Site_Sum_W,"&gt;0")</f>
        <v>0</v>
      </c>
      <c r="L227" s="91">
        <f t="shared" ca="1" si="93"/>
        <v>0</v>
      </c>
      <c r="N227" s="12">
        <f t="array" aca="1" ref="N227" ca="1">COUNTIFS(ZIP_5,$A227,Site_Sum_W,"&gt;0",CES3Pctl,"&gt;=" &amp;TEXT($O$126,"0"))</f>
        <v>0</v>
      </c>
      <c r="O227" s="91">
        <f t="array" aca="1" ref="O227" ca="1">SUMIFS(Site_Sum_W,ZIP_5,$A227,CES3Pctl,"&gt;=" &amp;TEXT(O$126,"0"))</f>
        <v>0</v>
      </c>
      <c r="P227" s="12">
        <f t="array" aca="1" ref="P227" ca="1">COUNTIFS(ZIP_5,$A227,Struc_W,"&gt;0",CES3Pctl,"&gt;=" &amp;TEXT($O$126,"0"))</f>
        <v>0</v>
      </c>
      <c r="Q227" s="91">
        <f t="array" aca="1" ref="Q227" ca="1">SUMIFS(Struc_W,ZIP_5,$A227,CES3Pctl,"&gt;=" &amp;TEXT(Q$126,"0"))</f>
        <v>0</v>
      </c>
    </row>
    <row r="228" spans="1:22" s="4" customFormat="1" ht="15.75" hidden="1" thickBot="1" x14ac:dyDescent="0.3">
      <c r="A228" s="4">
        <f t="shared" si="94"/>
        <v>92196</v>
      </c>
      <c r="B228" s="6">
        <f t="shared" si="94"/>
        <v>0</v>
      </c>
      <c r="E228" s="84">
        <f t="shared" ca="1" si="86"/>
        <v>0</v>
      </c>
      <c r="F228" s="92">
        <f t="shared" ca="1" si="87"/>
        <v>0</v>
      </c>
      <c r="G228" s="12">
        <f ca="1">COUNTIFS(ZIP_5,$A228,Site_Sum_W,"&gt;=" &amp;TEXT(H$126,"0"))</f>
        <v>0</v>
      </c>
      <c r="H228" s="91">
        <f t="shared" ca="1" si="89"/>
        <v>0</v>
      </c>
      <c r="I228" s="12">
        <f ca="1">COUNTIFS(ZIP_5,$A228,Site_Sum_W,"&lt;" &amp;TEXT(H$126,"0"),Site_Sum_W,"&gt;=" &amp;TEXT($J$126,"0"))</f>
        <v>0</v>
      </c>
      <c r="J228" s="91">
        <f t="shared" ca="1" si="91"/>
        <v>0</v>
      </c>
      <c r="K228" s="12">
        <f ca="1">COUNTIFS(ZIP_5,$A228,Site_Sum_W,"&lt;"&amp;TEXT(L$126,"0"),Site_Sum_W,"&gt;0")</f>
        <v>0</v>
      </c>
      <c r="L228" s="91">
        <f t="shared" ca="1" si="93"/>
        <v>0</v>
      </c>
      <c r="N228" s="12">
        <f t="array" aca="1" ref="N228" ca="1">COUNTIFS(ZIP_5,$A228,Site_Sum_W,"&gt;0",CES3Pctl,"&gt;=" &amp;TEXT($O$126,"0"))</f>
        <v>0</v>
      </c>
      <c r="O228" s="91">
        <f t="array" aca="1" ref="O228" ca="1">SUMIFS(Site_Sum_W,ZIP_5,$A228,CES3Pctl,"&gt;=" &amp;TEXT(O$126,"0"))</f>
        <v>0</v>
      </c>
      <c r="P228" s="12">
        <f t="array" aca="1" ref="P228" ca="1">COUNTIFS(ZIP_5,$A228,Struc_W,"&gt;0",CES3Pctl,"&gt;=" &amp;TEXT($O$126,"0"))</f>
        <v>0</v>
      </c>
      <c r="Q228" s="91">
        <f t="array" aca="1" ref="Q228" ca="1">SUMIFS(Struc_W,ZIP_5,$A228,CES3Pctl,"&gt;=" &amp;TEXT(Q$126,"0"))</f>
        <v>0</v>
      </c>
    </row>
    <row r="229" spans="1:22" s="4" customFormat="1" ht="15.75" hidden="1" thickBot="1" x14ac:dyDescent="0.3">
      <c r="A229" s="4">
        <f t="shared" si="94"/>
        <v>92197</v>
      </c>
      <c r="B229" s="6">
        <f t="shared" si="94"/>
        <v>0</v>
      </c>
      <c r="E229" s="84">
        <f t="shared" ca="1" si="86"/>
        <v>0</v>
      </c>
      <c r="F229" s="92">
        <f t="shared" ca="1" si="87"/>
        <v>0</v>
      </c>
      <c r="G229" s="12">
        <f ca="1">COUNTIFS(ZIP_5,$A229,Site_Sum_W,"&gt;=" &amp;TEXT(H$126,"0"))</f>
        <v>0</v>
      </c>
      <c r="H229" s="91">
        <f t="shared" ca="1" si="89"/>
        <v>0</v>
      </c>
      <c r="I229" s="12">
        <f ca="1">COUNTIFS(ZIP_5,$A229,Site_Sum_W,"&lt;" &amp;TEXT(H$126,"0"),Site_Sum_W,"&gt;=" &amp;TEXT($J$126,"0"))</f>
        <v>0</v>
      </c>
      <c r="J229" s="91">
        <f ca="1">SUMIFS(Site_Sum_W,ZIP_5,$A229,Site_Sum_W,"&lt;" &amp;TEXT(H$126,"0"),Site_Sum_W,"&gt;=" &amp;TEXT($J$126,"0"))</f>
        <v>0</v>
      </c>
      <c r="K229" s="12">
        <f ca="1">COUNTIFS(ZIP_5,$A229,Site_Sum_W,"&lt;"&amp;TEXT(L$126,"0"),Site_Sum_W,"&gt;0")</f>
        <v>0</v>
      </c>
      <c r="L229" s="91">
        <f t="shared" ca="1" si="93"/>
        <v>0</v>
      </c>
      <c r="N229" s="12">
        <f t="array" aca="1" ref="N229" ca="1">COUNTIFS(ZIP_5,$A229,Site_Sum_W,"&gt;0",CES3Pctl,"&gt;=" &amp;TEXT($O$126,"0"))</f>
        <v>0</v>
      </c>
      <c r="O229" s="91">
        <f t="array" aca="1" ref="O229" ca="1">SUMIFS(Site_Sum_W,ZIP_5,$A229,CES3Pctl,"&gt;=" &amp;TEXT(O$126,"0"))</f>
        <v>0</v>
      </c>
      <c r="P229" s="12">
        <f t="array" aca="1" ref="P229" ca="1">COUNTIFS(ZIP_5,$A229,Struc_W,"&gt;0",CES3Pctl,"&gt;=" &amp;TEXT($O$126,"0"))</f>
        <v>0</v>
      </c>
      <c r="Q229" s="91">
        <f t="array" aca="1" ref="Q229" ca="1">SUMIFS(Struc_W,ZIP_5,$A229,CES3Pctl,"&gt;=" &amp;TEXT(Q$126,"0"))</f>
        <v>0</v>
      </c>
    </row>
    <row r="230" spans="1:22" s="4" customFormat="1" ht="15.75" hidden="1" thickBot="1" x14ac:dyDescent="0.3">
      <c r="A230" s="4">
        <f t="shared" si="94"/>
        <v>92198</v>
      </c>
      <c r="B230" s="6">
        <f t="shared" si="94"/>
        <v>0</v>
      </c>
      <c r="E230" s="84">
        <f t="shared" ca="1" si="86"/>
        <v>0</v>
      </c>
      <c r="F230" s="92">
        <f t="shared" ca="1" si="87"/>
        <v>0</v>
      </c>
      <c r="G230" s="12">
        <f ca="1">COUNTIFS(ZIP_5,$A230,Site_Sum_W,"&gt;=" &amp;TEXT(H$126,"0"))</f>
        <v>0</v>
      </c>
      <c r="H230" s="91">
        <f t="shared" ca="1" si="89"/>
        <v>0</v>
      </c>
      <c r="I230" s="12">
        <f ca="1">COUNTIFS(ZIP_5,$A230,Site_Sum_W,"&lt;" &amp;TEXT(H$126,"0"),Site_Sum_W,"&gt;=" &amp;TEXT($J$126,"0"))</f>
        <v>0</v>
      </c>
      <c r="J230" s="91">
        <f ca="1">SUMIFS(Site_Sum_W,ZIP_5,$A230,Site_Sum_W,"&lt;" &amp;TEXT(H$126,"0"),Site_Sum_W,"&gt;=" &amp;TEXT($J$126,"0"))</f>
        <v>0</v>
      </c>
      <c r="K230" s="12">
        <f ca="1">COUNTIFS(ZIP_5,$A230,Site_Sum_W,"&lt;"&amp;TEXT(L$126,"0"),Site_Sum_W,"&gt;0")</f>
        <v>0</v>
      </c>
      <c r="L230" s="91">
        <f t="shared" ca="1" si="93"/>
        <v>0</v>
      </c>
      <c r="N230" s="12">
        <f t="array" aca="1" ref="N230" ca="1">COUNTIFS(ZIP_5,$A230,Site_Sum_W,"&gt;0",CES3Pctl,"&gt;=" &amp;TEXT($O$126,"0"))</f>
        <v>0</v>
      </c>
      <c r="O230" s="91">
        <f t="array" aca="1" ref="O230" ca="1">SUMIFS(Site_Sum_W,ZIP_5,$A230,CES3Pctl,"&gt;=" &amp;TEXT(O$126,"0"))</f>
        <v>0</v>
      </c>
      <c r="P230" s="12">
        <f t="array" aca="1" ref="P230" ca="1">COUNTIFS(ZIP_5,$A230,Struc_W,"&gt;0",CES3Pctl,"&gt;=" &amp;TEXT($O$126,"0"))</f>
        <v>0</v>
      </c>
      <c r="Q230" s="91">
        <f t="array" aca="1" ref="Q230" ca="1">SUMIFS(Struc_W,ZIP_5,$A230,CES3Pctl,"&gt;=" &amp;TEXT(Q$126,"0"))</f>
        <v>0</v>
      </c>
    </row>
    <row r="231" spans="1:22" s="4" customFormat="1" ht="15.75" thickBot="1" x14ac:dyDescent="0.3">
      <c r="A231" s="4">
        <f t="shared" si="94"/>
        <v>92199</v>
      </c>
      <c r="B231" s="6" t="str">
        <f t="shared" si="94"/>
        <v>N</v>
      </c>
      <c r="E231" s="84">
        <f t="shared" ca="1" si="86"/>
        <v>1</v>
      </c>
      <c r="F231" s="92">
        <f t="shared" ca="1" si="87"/>
        <v>5748000</v>
      </c>
      <c r="G231" s="12">
        <f ca="1">COUNTIFS(ZIP_5,$A231,Site_Sum_W,"&gt;=" &amp;TEXT(H$126,"0"))</f>
        <v>1</v>
      </c>
      <c r="H231" s="91">
        <f t="shared" ca="1" si="89"/>
        <v>5748000</v>
      </c>
      <c r="I231" s="12">
        <f ca="1">COUNTIFS(ZIP_5,$A231,Site_Sum_W,"&lt;" &amp;TEXT(H$126,"0"),Site_Sum_W,"&gt;=" &amp;TEXT($J$126,"0"))</f>
        <v>0</v>
      </c>
      <c r="J231" s="91">
        <f t="shared" ca="1" si="91"/>
        <v>0</v>
      </c>
      <c r="K231" s="12">
        <f ca="1">COUNTIFS(ZIP_5,$A231,Site_Sum_W,"&lt;"&amp;TEXT(L$126,"0"),Site_Sum_W,"&gt;0")</f>
        <v>0</v>
      </c>
      <c r="L231" s="91">
        <f t="shared" ca="1" si="93"/>
        <v>0</v>
      </c>
      <c r="N231" s="12">
        <f t="array" aca="1" ref="N231" ca="1">COUNTIFS(ZIP_5,$A231,Site_Sum_W,"&gt;0",CES3Pctl,"&gt;=" &amp;TEXT($O$126,"0"))</f>
        <v>0</v>
      </c>
      <c r="O231" s="91">
        <f t="array" aca="1" ref="O231" ca="1">SUMIFS(Site_Sum_W,ZIP_5,$A231,CES3Pctl,"&gt;=" &amp;TEXT(O$126,"0"))</f>
        <v>0</v>
      </c>
      <c r="P231" s="12">
        <f t="array" aca="1" ref="P231" ca="1">COUNTIFS(ZIP_5,$A231,Struc_W,"&gt;0",CES3Pctl,"&gt;=" &amp;TEXT($O$126,"0"))</f>
        <v>0</v>
      </c>
      <c r="Q231" s="91">
        <f t="array" aca="1" ref="Q231" ca="1">SUMIFS(Struc_W,ZIP_5,$A231,CES3Pctl,"&gt;=" &amp;TEXT(Q$126,"0"))</f>
        <v>0</v>
      </c>
    </row>
    <row r="232" spans="1:22" s="4" customFormat="1" x14ac:dyDescent="0.25">
      <c r="B232" s="6"/>
    </row>
    <row r="233" spans="1:22" s="4" customFormat="1" x14ac:dyDescent="0.25">
      <c r="B233" s="6"/>
    </row>
    <row r="234" spans="1:22" ht="18.75" x14ac:dyDescent="0.3">
      <c r="A234" s="65" t="s">
        <v>321</v>
      </c>
      <c r="B234" s="137"/>
      <c r="E234" s="65" t="s">
        <v>227</v>
      </c>
      <c r="O234"/>
      <c r="S234"/>
      <c r="U234"/>
    </row>
    <row r="235" spans="1:22" s="4" customFormat="1" ht="15.75" thickBot="1" x14ac:dyDescent="0.3">
      <c r="A235" s="171" t="s">
        <v>202</v>
      </c>
      <c r="B235" s="150"/>
      <c r="C235" s="18"/>
      <c r="D235" s="18"/>
      <c r="E235" s="4" t="s">
        <v>231</v>
      </c>
      <c r="N235"/>
      <c r="T235"/>
      <c r="U235"/>
    </row>
    <row r="236" spans="1:22" s="38" customFormat="1" x14ac:dyDescent="0.25">
      <c r="A236" s="172"/>
      <c r="B236" s="150"/>
      <c r="D236" s="160"/>
      <c r="E236" s="22" t="str">
        <f>E9</f>
        <v>Count</v>
      </c>
      <c r="F236" s="23" t="str">
        <f>F9</f>
        <v>kW_Total</v>
      </c>
      <c r="G236" s="24" t="str">
        <f>G9</f>
        <v>PV W_AC &gt;=</v>
      </c>
      <c r="H236" s="83">
        <f>H126</f>
        <v>3000000</v>
      </c>
      <c r="I236" s="68" t="str">
        <f>I9</f>
        <v>&gt; and &gt;=</v>
      </c>
      <c r="J236" s="83">
        <f>J126</f>
        <v>1000000</v>
      </c>
      <c r="K236" s="25" t="str">
        <f>K9</f>
        <v>Less than</v>
      </c>
      <c r="L236" s="83">
        <f>L126</f>
        <v>1000000</v>
      </c>
      <c r="M236" s="18"/>
      <c r="N236" s="18"/>
      <c r="R236"/>
      <c r="S236"/>
      <c r="T236" s="18"/>
      <c r="U236" s="18"/>
      <c r="V236" s="39"/>
    </row>
    <row r="237" spans="1:22" s="38" customFormat="1" x14ac:dyDescent="0.25">
      <c r="A237" s="69" t="s">
        <v>76</v>
      </c>
      <c r="B237" s="57"/>
      <c r="E237" s="9">
        <f t="shared" ref="E237:E244" ca="1" si="95">COUNTIFS(Map_Sym,$A237)</f>
        <v>2</v>
      </c>
      <c r="F237" s="89">
        <f t="shared" ref="F237:F244" ca="1" si="96">SUMIFS(Site_Sum_W,Map_Sym,$A237)</f>
        <v>69152200</v>
      </c>
      <c r="G237" s="9">
        <f t="shared" ref="G237:G244" ca="1" si="97">COUNTIFS(Site_Sum_W,"&gt;=" &amp;TEXT($H$236,"0"),Map_Sym,$A237)</f>
        <v>2</v>
      </c>
      <c r="H237" s="89">
        <f t="shared" ref="H237:H244" ca="1" si="98">SUMIFS(Site_Sum_W,Site_Sum_W,"&gt;=" &amp;TEXT($H$236,"0"),Map_Sym,$A237)</f>
        <v>69152200</v>
      </c>
      <c r="I237" s="9">
        <f t="shared" ref="I237:I244" ca="1" si="99">COUNTIFS(Site_Sum_W,"&lt;" &amp;TEXT($H$236,"0"),Site_Sum_W,"&gt;=" &amp;TEXT($J$236,"0"),Map_Sym,$A237)</f>
        <v>0</v>
      </c>
      <c r="J237" s="89">
        <f t="shared" ref="J237:J244" ca="1" si="100">SUMIFS(Site_Sum_W,Site_Sum_W,"&lt;" &amp;TEXT($H$236,"0"),Site_Sum_W,"&gt;=" &amp;TEXT($J$236,"0"),Map_Sym,$A237)</f>
        <v>0</v>
      </c>
      <c r="K237" s="9">
        <f t="shared" ref="K237:K244" ca="1" si="101">COUNTIFS(Site_Sum_W,"&lt;" &amp;TEXT($L$236,"0"),Map_Sym,$A237)</f>
        <v>0</v>
      </c>
      <c r="L237" s="89">
        <f t="shared" ref="L237:L244" ca="1" si="102">SUMIFS(Site_Sum_W,Site_Sum_W,"&lt;" &amp;TEXT($L$236,"0"),Map_Sym,$A237)</f>
        <v>0</v>
      </c>
      <c r="M237" s="4"/>
      <c r="N237"/>
      <c r="R237"/>
      <c r="S237"/>
      <c r="T237"/>
      <c r="U237"/>
      <c r="V237" s="39"/>
    </row>
    <row r="238" spans="1:22" s="38" customFormat="1" x14ac:dyDescent="0.25">
      <c r="A238" s="69" t="s">
        <v>237</v>
      </c>
      <c r="B238" s="57"/>
      <c r="E238" s="9">
        <f t="shared" ca="1" si="95"/>
        <v>2</v>
      </c>
      <c r="F238" s="89">
        <f t="shared" ca="1" si="96"/>
        <v>2609000</v>
      </c>
      <c r="G238" s="9">
        <f t="shared" ca="1" si="97"/>
        <v>0</v>
      </c>
      <c r="H238" s="89">
        <f t="shared" ca="1" si="98"/>
        <v>0</v>
      </c>
      <c r="I238" s="9">
        <f t="shared" ca="1" si="99"/>
        <v>2</v>
      </c>
      <c r="J238" s="89">
        <f t="shared" ca="1" si="100"/>
        <v>2609000</v>
      </c>
      <c r="K238" s="9">
        <f t="shared" ca="1" si="101"/>
        <v>0</v>
      </c>
      <c r="L238" s="89">
        <f t="shared" ca="1" si="102"/>
        <v>0</v>
      </c>
      <c r="M238" s="4"/>
      <c r="N238" s="4"/>
      <c r="R238"/>
      <c r="S238"/>
      <c r="T238" s="4"/>
      <c r="U238" s="4"/>
      <c r="V238" s="39"/>
    </row>
    <row r="239" spans="1:22" s="38" customFormat="1" x14ac:dyDescent="0.25">
      <c r="A239" s="69" t="s">
        <v>69</v>
      </c>
      <c r="B239" s="57"/>
      <c r="E239" s="9">
        <f t="shared" ca="1" si="95"/>
        <v>25</v>
      </c>
      <c r="F239" s="89">
        <f t="shared" ca="1" si="96"/>
        <v>57809900</v>
      </c>
      <c r="G239" s="9">
        <f t="shared" ca="1" si="97"/>
        <v>6</v>
      </c>
      <c r="H239" s="89">
        <f t="shared" ca="1" si="98"/>
        <v>25755400</v>
      </c>
      <c r="I239" s="9">
        <f t="shared" ca="1" si="99"/>
        <v>18</v>
      </c>
      <c r="J239" s="89">
        <f t="shared" ca="1" si="100"/>
        <v>31158500</v>
      </c>
      <c r="K239" s="9">
        <f t="shared" ca="1" si="101"/>
        <v>1</v>
      </c>
      <c r="L239" s="89">
        <f t="shared" ca="1" si="102"/>
        <v>896000</v>
      </c>
      <c r="M239" s="4"/>
      <c r="N239"/>
      <c r="R239"/>
      <c r="S239"/>
      <c r="T239"/>
      <c r="U239"/>
      <c r="V239" s="39"/>
    </row>
    <row r="240" spans="1:22" s="38" customFormat="1" x14ac:dyDescent="0.25">
      <c r="A240" s="69" t="s">
        <v>63</v>
      </c>
      <c r="B240" s="57"/>
      <c r="E240" s="9">
        <f t="shared" ca="1" si="95"/>
        <v>11</v>
      </c>
      <c r="F240" s="89">
        <f t="shared" ca="1" si="96"/>
        <v>28332920</v>
      </c>
      <c r="G240" s="9">
        <f t="shared" ca="1" si="97"/>
        <v>1</v>
      </c>
      <c r="H240" s="89">
        <f t="shared" ca="1" si="98"/>
        <v>8522500</v>
      </c>
      <c r="I240" s="9">
        <f t="shared" ca="1" si="99"/>
        <v>10</v>
      </c>
      <c r="J240" s="89">
        <f t="shared" ca="1" si="100"/>
        <v>19810420</v>
      </c>
      <c r="K240" s="9">
        <f t="shared" ca="1" si="101"/>
        <v>0</v>
      </c>
      <c r="L240" s="89">
        <f t="shared" ca="1" si="102"/>
        <v>0</v>
      </c>
      <c r="M240" s="4"/>
      <c r="N240" s="4"/>
      <c r="R240"/>
      <c r="S240"/>
      <c r="T240" s="4"/>
      <c r="U240" s="4"/>
      <c r="V240" s="39"/>
    </row>
    <row r="241" spans="1:25" s="38" customFormat="1" x14ac:dyDescent="0.25">
      <c r="A241" s="38" t="s">
        <v>62</v>
      </c>
      <c r="B241" s="57"/>
      <c r="E241" s="9">
        <f t="shared" ca="1" si="95"/>
        <v>39</v>
      </c>
      <c r="F241" s="89">
        <f t="shared" ca="1" si="96"/>
        <v>132081600</v>
      </c>
      <c r="G241" s="9">
        <f t="shared" ca="1" si="97"/>
        <v>17</v>
      </c>
      <c r="H241" s="89">
        <f t="shared" ca="1" si="98"/>
        <v>89759300</v>
      </c>
      <c r="I241" s="9">
        <f t="shared" ca="1" si="99"/>
        <v>19</v>
      </c>
      <c r="J241" s="89">
        <f t="shared" ca="1" si="100"/>
        <v>39692400</v>
      </c>
      <c r="K241" s="9">
        <f t="shared" ca="1" si="101"/>
        <v>3</v>
      </c>
      <c r="L241" s="89">
        <f t="shared" ca="1" si="102"/>
        <v>2629900</v>
      </c>
      <c r="M241" s="4"/>
      <c r="N241"/>
      <c r="R241"/>
      <c r="S241"/>
      <c r="T241"/>
      <c r="U241"/>
      <c r="V241" s="39"/>
    </row>
    <row r="242" spans="1:25" s="38" customFormat="1" x14ac:dyDescent="0.25">
      <c r="A242" s="69" t="s">
        <v>218</v>
      </c>
      <c r="B242" s="57"/>
      <c r="E242" s="9">
        <f t="shared" ca="1" si="95"/>
        <v>11</v>
      </c>
      <c r="F242" s="89">
        <f t="shared" ca="1" si="96"/>
        <v>37236900</v>
      </c>
      <c r="G242" s="9">
        <f t="shared" ca="1" si="97"/>
        <v>5</v>
      </c>
      <c r="H242" s="89">
        <f t="shared" ca="1" si="98"/>
        <v>27232000</v>
      </c>
      <c r="I242" s="9">
        <f t="shared" ca="1" si="99"/>
        <v>5</v>
      </c>
      <c r="J242" s="89">
        <f t="shared" ca="1" si="100"/>
        <v>9008900</v>
      </c>
      <c r="K242" s="9">
        <f t="shared" ca="1" si="101"/>
        <v>1</v>
      </c>
      <c r="L242" s="89">
        <f t="shared" ca="1" si="102"/>
        <v>996000</v>
      </c>
      <c r="M242" s="4"/>
      <c r="N242"/>
      <c r="R242"/>
      <c r="S242"/>
      <c r="T242" s="4"/>
      <c r="U242" s="4"/>
      <c r="V242" s="39"/>
    </row>
    <row r="243" spans="1:25" s="38" customFormat="1" x14ac:dyDescent="0.25">
      <c r="A243" s="69" t="s">
        <v>206</v>
      </c>
      <c r="B243" s="57"/>
      <c r="E243" s="9">
        <f t="shared" ca="1" si="95"/>
        <v>1</v>
      </c>
      <c r="F243" s="89">
        <f t="shared" ca="1" si="96"/>
        <v>2586500</v>
      </c>
      <c r="G243" s="9">
        <f t="shared" ca="1" si="97"/>
        <v>0</v>
      </c>
      <c r="H243" s="89">
        <f t="shared" ca="1" si="98"/>
        <v>0</v>
      </c>
      <c r="I243" s="9">
        <f t="shared" ca="1" si="99"/>
        <v>1</v>
      </c>
      <c r="J243" s="89">
        <f t="shared" ca="1" si="100"/>
        <v>2586500</v>
      </c>
      <c r="K243" s="9">
        <f t="shared" ca="1" si="101"/>
        <v>0</v>
      </c>
      <c r="L243" s="89">
        <f t="shared" ca="1" si="102"/>
        <v>0</v>
      </c>
      <c r="M243" s="4"/>
      <c r="N243" s="4"/>
      <c r="R243" s="4"/>
      <c r="S243" s="4"/>
      <c r="T243" s="4"/>
      <c r="U243" s="4"/>
      <c r="V243" s="39"/>
    </row>
    <row r="244" spans="1:25" s="38" customFormat="1" x14ac:dyDescent="0.25">
      <c r="A244" s="69" t="s">
        <v>302</v>
      </c>
      <c r="B244" s="57"/>
      <c r="E244" s="9">
        <f t="shared" ca="1" si="95"/>
        <v>8</v>
      </c>
      <c r="F244" s="89">
        <f t="shared" ca="1" si="96"/>
        <v>59927000</v>
      </c>
      <c r="G244" s="9">
        <f t="shared" ca="1" si="97"/>
        <v>4</v>
      </c>
      <c r="H244" s="89">
        <f t="shared" ca="1" si="98"/>
        <v>52752000</v>
      </c>
      <c r="I244" s="9">
        <f t="shared" ca="1" si="99"/>
        <v>4</v>
      </c>
      <c r="J244" s="89">
        <f t="shared" ca="1" si="100"/>
        <v>7175000</v>
      </c>
      <c r="K244" s="9">
        <f t="shared" ca="1" si="101"/>
        <v>0</v>
      </c>
      <c r="L244" s="89">
        <f t="shared" ca="1" si="102"/>
        <v>0</v>
      </c>
      <c r="M244" s="4"/>
      <c r="N244"/>
      <c r="O244" s="4"/>
      <c r="P244" s="4"/>
      <c r="Q244" s="4"/>
      <c r="R244" s="4"/>
      <c r="S244" s="4"/>
      <c r="T244" s="4"/>
      <c r="U244" s="4"/>
      <c r="V244" s="39"/>
    </row>
    <row r="245" spans="1:25" s="38" customFormat="1" ht="15.75" thickBot="1" x14ac:dyDescent="0.3">
      <c r="A245" s="69"/>
      <c r="B245" s="57"/>
      <c r="E245" s="27"/>
      <c r="F245" s="90"/>
      <c r="G245" s="27"/>
      <c r="H245" s="90"/>
      <c r="I245" s="27"/>
      <c r="J245" s="90"/>
      <c r="K245" s="27"/>
      <c r="L245" s="90"/>
      <c r="M245" s="4"/>
      <c r="N245"/>
      <c r="O245"/>
      <c r="P245" s="4"/>
      <c r="Q245" s="4"/>
      <c r="R245"/>
      <c r="S245"/>
      <c r="T245"/>
      <c r="U245"/>
      <c r="V245" s="39"/>
    </row>
    <row r="246" spans="1:25" s="4" customFormat="1" ht="15.75" thickBot="1" x14ac:dyDescent="0.3">
      <c r="A246" s="7"/>
      <c r="B246" s="6"/>
      <c r="N246"/>
      <c r="O246"/>
      <c r="R246"/>
      <c r="S246"/>
      <c r="T246"/>
      <c r="U246"/>
      <c r="V246"/>
    </row>
    <row r="247" spans="1:25" s="2" customFormat="1" ht="15.75" thickBot="1" x14ac:dyDescent="0.3">
      <c r="A247" s="54" t="s">
        <v>75</v>
      </c>
      <c r="B247" s="138"/>
      <c r="C247" s="11"/>
      <c r="D247" s="11"/>
      <c r="E247" s="12">
        <f t="shared" ref="E247:L247" ca="1" si="103">SUM(E237:E246)</f>
        <v>99</v>
      </c>
      <c r="F247" s="13">
        <f t="shared" ca="1" si="103"/>
        <v>389736020</v>
      </c>
      <c r="G247" s="12">
        <f t="shared" ca="1" si="103"/>
        <v>35</v>
      </c>
      <c r="H247" s="13">
        <f t="shared" ca="1" si="103"/>
        <v>273173400</v>
      </c>
      <c r="I247" s="12">
        <f t="shared" ca="1" si="103"/>
        <v>59</v>
      </c>
      <c r="J247" s="13">
        <f t="shared" ca="1" si="103"/>
        <v>112040720</v>
      </c>
      <c r="K247" s="12">
        <f t="shared" ca="1" si="103"/>
        <v>5</v>
      </c>
      <c r="L247" s="13">
        <f t="shared" ca="1" si="103"/>
        <v>4521900</v>
      </c>
      <c r="M247" s="40"/>
      <c r="N247"/>
      <c r="O247"/>
      <c r="P247" s="4"/>
      <c r="Q247" s="4"/>
      <c r="R247"/>
      <c r="S247"/>
      <c r="T247"/>
      <c r="U247"/>
      <c r="V247"/>
    </row>
    <row r="248" spans="1:25" s="4" customFormat="1" x14ac:dyDescent="0.25">
      <c r="A248" s="163" t="s">
        <v>1376</v>
      </c>
      <c r="B248" s="6"/>
      <c r="F248" s="161">
        <f ca="1">F247/$F$12</f>
        <v>0.78157757873400624</v>
      </c>
      <c r="H248" s="161">
        <f ca="1">H247/$F$12</f>
        <v>0.54782261220437412</v>
      </c>
      <c r="J248" s="161">
        <f ca="1">J247/$F$12</f>
        <v>0.22468673708223005</v>
      </c>
      <c r="L248" s="161">
        <f ca="1">L247/$F$12</f>
        <v>9.0682294474021229E-3</v>
      </c>
    </row>
    <row r="249" spans="1:25" x14ac:dyDescent="0.25">
      <c r="O249"/>
      <c r="Q249"/>
      <c r="S249"/>
      <c r="U249"/>
    </row>
    <row r="250" spans="1:25" s="4" customFormat="1" x14ac:dyDescent="0.25">
      <c r="B250" s="6"/>
      <c r="E250" s="4" t="s">
        <v>226</v>
      </c>
    </row>
    <row r="251" spans="1:25" ht="23.25" customHeight="1" thickBot="1" x14ac:dyDescent="0.3">
      <c r="E251" s="82" t="s">
        <v>62</v>
      </c>
      <c r="F251" s="66"/>
      <c r="G251" s="57" t="s">
        <v>76</v>
      </c>
      <c r="H251" s="66"/>
      <c r="I251" s="57" t="s">
        <v>302</v>
      </c>
      <c r="J251" s="66"/>
      <c r="K251" s="57" t="s">
        <v>69</v>
      </c>
      <c r="L251" s="66"/>
      <c r="N251" s="82" t="s">
        <v>218</v>
      </c>
      <c r="O251" s="66"/>
      <c r="P251" s="57" t="s">
        <v>63</v>
      </c>
      <c r="Q251" s="66"/>
      <c r="R251" s="57" t="s">
        <v>237</v>
      </c>
      <c r="S251" s="66"/>
      <c r="T251" s="57" t="s">
        <v>206</v>
      </c>
      <c r="U251" s="66"/>
      <c r="V251" s="4"/>
      <c r="W251" s="4"/>
      <c r="X251"/>
      <c r="Y251"/>
    </row>
    <row r="252" spans="1:25" s="4" customFormat="1" x14ac:dyDescent="0.25">
      <c r="A252" s="4" t="s">
        <v>463</v>
      </c>
      <c r="B252" s="139" t="s">
        <v>1311</v>
      </c>
      <c r="E252" s="22" t="s">
        <v>4</v>
      </c>
      <c r="F252" s="23" t="s">
        <v>39</v>
      </c>
      <c r="G252" s="22" t="s">
        <v>4</v>
      </c>
      <c r="H252" s="23" t="s">
        <v>39</v>
      </c>
      <c r="I252" s="22" t="s">
        <v>4</v>
      </c>
      <c r="J252" s="23" t="s">
        <v>39</v>
      </c>
      <c r="K252" s="22" t="s">
        <v>4</v>
      </c>
      <c r="L252" s="23" t="s">
        <v>39</v>
      </c>
      <c r="N252" s="22" t="s">
        <v>4</v>
      </c>
      <c r="O252" s="23" t="s">
        <v>39</v>
      </c>
      <c r="P252" s="22" t="s">
        <v>4</v>
      </c>
      <c r="Q252" s="23" t="s">
        <v>39</v>
      </c>
      <c r="R252" s="22" t="s">
        <v>4</v>
      </c>
      <c r="S252" s="23" t="s">
        <v>39</v>
      </c>
      <c r="T252" s="22" t="s">
        <v>4</v>
      </c>
      <c r="U252" s="23" t="s">
        <v>39</v>
      </c>
    </row>
    <row r="253" spans="1:25" x14ac:dyDescent="0.25">
      <c r="A253" s="4">
        <f t="shared" ref="A253:A284" si="104">A18</f>
        <v>92037</v>
      </c>
      <c r="B253" s="6" t="str">
        <f>B131</f>
        <v>S</v>
      </c>
      <c r="C253" s="153"/>
      <c r="E253" s="9">
        <f t="shared" ref="E253:E284" ca="1" si="105">COUNTIFS(Map_Sym,E$251,ZIP_5,$A253)</f>
        <v>2</v>
      </c>
      <c r="F253" s="89">
        <f t="shared" ref="F253:F284" ca="1" si="106">SUMIFS(Site_Sum_W,Map_Sym,E$251,ZIP_5,$A253)</f>
        <v>6226000</v>
      </c>
      <c r="G253" s="9">
        <f t="shared" ref="G253:G284" ca="1" si="107">COUNTIFS(Map_Sym,G$251,ZIP_5,$A253)</f>
        <v>0</v>
      </c>
      <c r="H253" s="89">
        <f t="shared" ref="H253:H284" ca="1" si="108">SUMIFS(Site_Sum_W,Map_Sym,G$251,ZIP_5,$A253)</f>
        <v>0</v>
      </c>
      <c r="I253" s="9">
        <f t="shared" ref="I253:I284" ca="1" si="109">COUNTIFS(Map_Sym,I$251,ZIP_5,$A253)</f>
        <v>0</v>
      </c>
      <c r="J253" s="89">
        <f t="shared" ref="J253:J284" ca="1" si="110">SUMIFS(Site_Sum_W,Map_Sym,I$251,ZIP_5,$A253)</f>
        <v>0</v>
      </c>
      <c r="K253" s="9">
        <f t="shared" ref="K253:K284" ca="1" si="111">COUNTIFS(Map_Sym,K$251,ZIP_5,$A253)</f>
        <v>0</v>
      </c>
      <c r="L253" s="89">
        <f t="shared" ref="L253:L284" ca="1" si="112">SUMIFS(Site_Sum_W,Map_Sym,K$251,ZIP_5,$A253)</f>
        <v>0</v>
      </c>
      <c r="N253" s="9">
        <f t="shared" ref="N253:N284" ca="1" si="113">COUNTIFS(Map_Sym,N$251,ZIP_5,$A253)</f>
        <v>0</v>
      </c>
      <c r="O253" s="89">
        <f t="shared" ref="O253:O284" ca="1" si="114">SUMIFS(Site_Sum_W,Map_Sym,N$251,ZIP_5,$A253)</f>
        <v>0</v>
      </c>
      <c r="P253" s="9">
        <f t="shared" ref="P253:P284" ca="1" si="115">COUNTIFS(Map_Sym,P$251,ZIP_5,$A253)</f>
        <v>0</v>
      </c>
      <c r="Q253" s="89">
        <f t="shared" ref="Q253:Q284" ca="1" si="116">SUMIFS(Site_Sum_W,Map_Sym,P$251,ZIP_5,$A253)</f>
        <v>0</v>
      </c>
      <c r="R253" s="9">
        <f t="shared" ref="R253:T284" ca="1" si="117">COUNTIFS(Map_Sym,R$251,ZIP_5,$A253)</f>
        <v>0</v>
      </c>
      <c r="S253" s="89">
        <f t="shared" ref="S253:S284" ca="1" si="118">SUMIFS(Site_Sum_W,Map_Sym,R$251,ZIP_5,$A253)</f>
        <v>0</v>
      </c>
      <c r="T253" s="9">
        <f t="shared" ca="1" si="117"/>
        <v>0</v>
      </c>
      <c r="U253" s="89">
        <f t="shared" ref="U253:U316" ca="1" si="119">SUMIFS(Site_Sum_W,Map_Sym,T$251,ZIP_5,$A253)</f>
        <v>0</v>
      </c>
      <c r="V253" s="4"/>
      <c r="W253" s="4"/>
      <c r="X253"/>
      <c r="Y253"/>
    </row>
    <row r="254" spans="1:25" s="4" customFormat="1" hidden="1" x14ac:dyDescent="0.25">
      <c r="A254" s="4">
        <f t="shared" si="104"/>
        <v>92093</v>
      </c>
      <c r="B254" s="6" t="str">
        <f t="shared" ref="B254:B317" si="120">B132</f>
        <v>S</v>
      </c>
      <c r="C254" s="153"/>
      <c r="E254" s="9">
        <f t="shared" ca="1" si="105"/>
        <v>0</v>
      </c>
      <c r="F254" s="89">
        <f t="shared" ca="1" si="106"/>
        <v>0</v>
      </c>
      <c r="G254" s="9">
        <f t="shared" ca="1" si="107"/>
        <v>0</v>
      </c>
      <c r="H254" s="89">
        <f t="shared" ca="1" si="108"/>
        <v>0</v>
      </c>
      <c r="I254" s="9">
        <f t="shared" ca="1" si="109"/>
        <v>0</v>
      </c>
      <c r="J254" s="89">
        <f t="shared" ca="1" si="110"/>
        <v>0</v>
      </c>
      <c r="K254" s="9">
        <f t="shared" ca="1" si="111"/>
        <v>0</v>
      </c>
      <c r="L254" s="89">
        <f t="shared" ca="1" si="112"/>
        <v>0</v>
      </c>
      <c r="N254" s="9">
        <f t="shared" ca="1" si="113"/>
        <v>0</v>
      </c>
      <c r="O254" s="89">
        <f t="shared" ca="1" si="114"/>
        <v>0</v>
      </c>
      <c r="P254" s="9">
        <f t="shared" ca="1" si="115"/>
        <v>0</v>
      </c>
      <c r="Q254" s="89">
        <f t="shared" ca="1" si="116"/>
        <v>0</v>
      </c>
      <c r="R254" s="9">
        <f t="shared" ca="1" si="117"/>
        <v>0</v>
      </c>
      <c r="S254" s="89">
        <f t="shared" ca="1" si="118"/>
        <v>0</v>
      </c>
      <c r="T254" s="9">
        <f t="shared" ca="1" si="117"/>
        <v>0</v>
      </c>
      <c r="U254" s="89">
        <f t="shared" ca="1" si="119"/>
        <v>0</v>
      </c>
    </row>
    <row r="255" spans="1:25" s="4" customFormat="1" hidden="1" x14ac:dyDescent="0.25">
      <c r="A255" s="4">
        <f t="shared" si="104"/>
        <v>92101</v>
      </c>
      <c r="B255" s="6" t="str">
        <f t="shared" si="120"/>
        <v>S</v>
      </c>
      <c r="C255" s="153"/>
      <c r="E255" s="9">
        <f t="shared" ca="1" si="105"/>
        <v>0</v>
      </c>
      <c r="F255" s="89">
        <f t="shared" ca="1" si="106"/>
        <v>0</v>
      </c>
      <c r="G255" s="9">
        <f t="shared" ca="1" si="107"/>
        <v>1</v>
      </c>
      <c r="H255" s="89">
        <f t="shared" ca="1" si="108"/>
        <v>20916000</v>
      </c>
      <c r="I255" s="9">
        <f t="shared" ca="1" si="109"/>
        <v>3</v>
      </c>
      <c r="J255" s="89">
        <f t="shared" ca="1" si="110"/>
        <v>5467000</v>
      </c>
      <c r="K255" s="9">
        <f t="shared" ca="1" si="111"/>
        <v>0</v>
      </c>
      <c r="L255" s="89">
        <f t="shared" ca="1" si="112"/>
        <v>0</v>
      </c>
      <c r="N255" s="9">
        <f t="shared" ca="1" si="113"/>
        <v>0</v>
      </c>
      <c r="O255" s="89">
        <f t="shared" ca="1" si="114"/>
        <v>0</v>
      </c>
      <c r="P255" s="9">
        <f t="shared" ca="1" si="115"/>
        <v>0</v>
      </c>
      <c r="Q255" s="89">
        <f t="shared" ca="1" si="116"/>
        <v>0</v>
      </c>
      <c r="R255" s="9">
        <f t="shared" ca="1" si="117"/>
        <v>0</v>
      </c>
      <c r="S255" s="89">
        <f t="shared" ca="1" si="118"/>
        <v>0</v>
      </c>
      <c r="T255" s="9">
        <f t="shared" ca="1" si="117"/>
        <v>0</v>
      </c>
      <c r="U255" s="89">
        <f t="shared" ca="1" si="119"/>
        <v>0</v>
      </c>
    </row>
    <row r="256" spans="1:25" s="4" customFormat="1" x14ac:dyDescent="0.25">
      <c r="A256" s="4">
        <f t="shared" si="104"/>
        <v>92102</v>
      </c>
      <c r="B256" s="6" t="str">
        <f t="shared" si="120"/>
        <v>S</v>
      </c>
      <c r="C256" s="153"/>
      <c r="E256" s="9">
        <f t="shared" ca="1" si="105"/>
        <v>1</v>
      </c>
      <c r="F256" s="89">
        <f t="shared" ca="1" si="106"/>
        <v>1044400</v>
      </c>
      <c r="G256" s="9">
        <f t="shared" ca="1" si="107"/>
        <v>0</v>
      </c>
      <c r="H256" s="89">
        <f t="shared" ca="1" si="108"/>
        <v>0</v>
      </c>
      <c r="I256" s="9">
        <f t="shared" ca="1" si="109"/>
        <v>0</v>
      </c>
      <c r="J256" s="89">
        <f t="shared" ca="1" si="110"/>
        <v>0</v>
      </c>
      <c r="K256" s="9">
        <f t="shared" ca="1" si="111"/>
        <v>1</v>
      </c>
      <c r="L256" s="89">
        <f t="shared" ca="1" si="112"/>
        <v>1512000</v>
      </c>
      <c r="N256" s="9">
        <f t="shared" ca="1" si="113"/>
        <v>0</v>
      </c>
      <c r="O256" s="89">
        <f t="shared" ca="1" si="114"/>
        <v>0</v>
      </c>
      <c r="P256" s="9">
        <f t="shared" ca="1" si="115"/>
        <v>0</v>
      </c>
      <c r="Q256" s="89">
        <f t="shared" ca="1" si="116"/>
        <v>0</v>
      </c>
      <c r="R256" s="9">
        <f t="shared" ca="1" si="117"/>
        <v>0</v>
      </c>
      <c r="S256" s="89">
        <f t="shared" ca="1" si="118"/>
        <v>0</v>
      </c>
      <c r="T256" s="9">
        <f t="shared" ca="1" si="117"/>
        <v>0</v>
      </c>
      <c r="U256" s="89">
        <f t="shared" ca="1" si="119"/>
        <v>0</v>
      </c>
    </row>
    <row r="257" spans="1:21" s="4" customFormat="1" hidden="1" x14ac:dyDescent="0.25">
      <c r="A257" s="4">
        <f t="shared" si="104"/>
        <v>92103</v>
      </c>
      <c r="B257" s="6">
        <f t="shared" si="120"/>
        <v>0</v>
      </c>
      <c r="C257" s="153"/>
      <c r="E257" s="9">
        <f t="shared" ca="1" si="105"/>
        <v>0</v>
      </c>
      <c r="F257" s="89">
        <f t="shared" ca="1" si="106"/>
        <v>0</v>
      </c>
      <c r="G257" s="9">
        <f t="shared" ca="1" si="107"/>
        <v>0</v>
      </c>
      <c r="H257" s="89">
        <f t="shared" ca="1" si="108"/>
        <v>0</v>
      </c>
      <c r="I257" s="9">
        <f t="shared" ca="1" si="109"/>
        <v>0</v>
      </c>
      <c r="J257" s="89">
        <f t="shared" ca="1" si="110"/>
        <v>0</v>
      </c>
      <c r="K257" s="9">
        <f t="shared" ca="1" si="111"/>
        <v>0</v>
      </c>
      <c r="L257" s="89">
        <f t="shared" ca="1" si="112"/>
        <v>0</v>
      </c>
      <c r="N257" s="9">
        <f t="shared" ca="1" si="113"/>
        <v>0</v>
      </c>
      <c r="O257" s="89">
        <f t="shared" ca="1" si="114"/>
        <v>0</v>
      </c>
      <c r="P257" s="9">
        <f t="shared" ca="1" si="115"/>
        <v>0</v>
      </c>
      <c r="Q257" s="89">
        <f t="shared" ca="1" si="116"/>
        <v>0</v>
      </c>
      <c r="R257" s="9">
        <f t="shared" ca="1" si="117"/>
        <v>0</v>
      </c>
      <c r="S257" s="89">
        <f t="shared" ca="1" si="118"/>
        <v>0</v>
      </c>
      <c r="T257" s="9">
        <f t="shared" ca="1" si="117"/>
        <v>0</v>
      </c>
      <c r="U257" s="89">
        <f t="shared" ca="1" si="119"/>
        <v>0</v>
      </c>
    </row>
    <row r="258" spans="1:21" s="4" customFormat="1" hidden="1" x14ac:dyDescent="0.25">
      <c r="A258" s="4">
        <f t="shared" si="104"/>
        <v>92104</v>
      </c>
      <c r="B258" s="6" t="str">
        <f t="shared" si="120"/>
        <v>S</v>
      </c>
      <c r="C258" s="153"/>
      <c r="E258" s="9">
        <f t="shared" ca="1" si="105"/>
        <v>0</v>
      </c>
      <c r="F258" s="89">
        <f t="shared" ca="1" si="106"/>
        <v>0</v>
      </c>
      <c r="G258" s="9">
        <f t="shared" ca="1" si="107"/>
        <v>0</v>
      </c>
      <c r="H258" s="89">
        <f t="shared" ca="1" si="108"/>
        <v>0</v>
      </c>
      <c r="I258" s="9">
        <f t="shared" ca="1" si="109"/>
        <v>0</v>
      </c>
      <c r="J258" s="89">
        <f t="shared" ca="1" si="110"/>
        <v>0</v>
      </c>
      <c r="K258" s="9">
        <f t="shared" ca="1" si="111"/>
        <v>0</v>
      </c>
      <c r="L258" s="89">
        <f t="shared" ca="1" si="112"/>
        <v>0</v>
      </c>
      <c r="N258" s="9">
        <f t="shared" ca="1" si="113"/>
        <v>0</v>
      </c>
      <c r="O258" s="89">
        <f t="shared" ca="1" si="114"/>
        <v>0</v>
      </c>
      <c r="P258" s="9">
        <f t="shared" ca="1" si="115"/>
        <v>0</v>
      </c>
      <c r="Q258" s="89">
        <f t="shared" ca="1" si="116"/>
        <v>0</v>
      </c>
      <c r="R258" s="9">
        <f t="shared" ca="1" si="117"/>
        <v>0</v>
      </c>
      <c r="S258" s="89">
        <f t="shared" ca="1" si="118"/>
        <v>0</v>
      </c>
      <c r="T258" s="9">
        <f t="shared" ca="1" si="117"/>
        <v>0</v>
      </c>
      <c r="U258" s="89">
        <f t="shared" ca="1" si="119"/>
        <v>0</v>
      </c>
    </row>
    <row r="259" spans="1:21" s="4" customFormat="1" x14ac:dyDescent="0.25">
      <c r="A259" s="4">
        <f t="shared" si="104"/>
        <v>92105</v>
      </c>
      <c r="B259" s="6" t="str">
        <f t="shared" si="120"/>
        <v>S</v>
      </c>
      <c r="C259" s="153"/>
      <c r="E259" s="9">
        <f t="shared" ca="1" si="105"/>
        <v>1</v>
      </c>
      <c r="F259" s="89">
        <f t="shared" ca="1" si="106"/>
        <v>1547000</v>
      </c>
      <c r="G259" s="9">
        <f t="shared" ca="1" si="107"/>
        <v>0</v>
      </c>
      <c r="H259" s="89">
        <f t="shared" ca="1" si="108"/>
        <v>0</v>
      </c>
      <c r="I259" s="9">
        <f t="shared" ca="1" si="109"/>
        <v>0</v>
      </c>
      <c r="J259" s="89">
        <f t="shared" ca="1" si="110"/>
        <v>0</v>
      </c>
      <c r="K259" s="9">
        <f t="shared" ca="1" si="111"/>
        <v>0</v>
      </c>
      <c r="L259" s="89">
        <f t="shared" ca="1" si="112"/>
        <v>0</v>
      </c>
      <c r="N259" s="9">
        <f t="shared" ca="1" si="113"/>
        <v>0</v>
      </c>
      <c r="O259" s="89">
        <f t="shared" ca="1" si="114"/>
        <v>0</v>
      </c>
      <c r="P259" s="9">
        <f t="shared" ca="1" si="115"/>
        <v>0</v>
      </c>
      <c r="Q259" s="89">
        <f t="shared" ca="1" si="116"/>
        <v>0</v>
      </c>
      <c r="R259" s="9">
        <f t="shared" ca="1" si="117"/>
        <v>0</v>
      </c>
      <c r="S259" s="89">
        <f t="shared" ca="1" si="118"/>
        <v>0</v>
      </c>
      <c r="T259" s="9">
        <f t="shared" ca="1" si="117"/>
        <v>0</v>
      </c>
      <c r="U259" s="89">
        <f t="shared" ca="1" si="119"/>
        <v>0</v>
      </c>
    </row>
    <row r="260" spans="1:21" s="4" customFormat="1" x14ac:dyDescent="0.25">
      <c r="A260" s="4">
        <f t="shared" si="104"/>
        <v>92106</v>
      </c>
      <c r="B260" s="6" t="str">
        <f t="shared" si="120"/>
        <v>S</v>
      </c>
      <c r="C260" s="153"/>
      <c r="E260" s="9">
        <f t="shared" ca="1" si="105"/>
        <v>1</v>
      </c>
      <c r="F260" s="89">
        <f t="shared" ca="1" si="106"/>
        <v>5306000</v>
      </c>
      <c r="G260" s="9">
        <f t="shared" ca="1" si="107"/>
        <v>0</v>
      </c>
      <c r="H260" s="89">
        <f t="shared" ca="1" si="108"/>
        <v>0</v>
      </c>
      <c r="I260" s="9">
        <f t="shared" ca="1" si="109"/>
        <v>0</v>
      </c>
      <c r="J260" s="89">
        <f t="shared" ca="1" si="110"/>
        <v>0</v>
      </c>
      <c r="K260" s="9">
        <f t="shared" ca="1" si="111"/>
        <v>0</v>
      </c>
      <c r="L260" s="89">
        <f t="shared" ca="1" si="112"/>
        <v>0</v>
      </c>
      <c r="N260" s="9">
        <f t="shared" ca="1" si="113"/>
        <v>0</v>
      </c>
      <c r="O260" s="89">
        <f t="shared" ca="1" si="114"/>
        <v>0</v>
      </c>
      <c r="P260" s="9">
        <f t="shared" ca="1" si="115"/>
        <v>0</v>
      </c>
      <c r="Q260" s="89">
        <f t="shared" ca="1" si="116"/>
        <v>0</v>
      </c>
      <c r="R260" s="9">
        <f t="shared" ca="1" si="117"/>
        <v>0</v>
      </c>
      <c r="S260" s="89">
        <f t="shared" ca="1" si="118"/>
        <v>0</v>
      </c>
      <c r="T260" s="9">
        <f t="shared" ca="1" si="117"/>
        <v>0</v>
      </c>
      <c r="U260" s="89">
        <f t="shared" ca="1" si="119"/>
        <v>0</v>
      </c>
    </row>
    <row r="261" spans="1:21" s="4" customFormat="1" hidden="1" x14ac:dyDescent="0.25">
      <c r="A261" s="4">
        <f t="shared" si="104"/>
        <v>92107</v>
      </c>
      <c r="B261" s="6" t="str">
        <f t="shared" si="120"/>
        <v>S</v>
      </c>
      <c r="C261" s="153"/>
      <c r="E261" s="9">
        <f t="shared" ca="1" si="105"/>
        <v>0</v>
      </c>
      <c r="F261" s="89">
        <f t="shared" ca="1" si="106"/>
        <v>0</v>
      </c>
      <c r="G261" s="9">
        <f t="shared" ca="1" si="107"/>
        <v>0</v>
      </c>
      <c r="H261" s="89">
        <f t="shared" ca="1" si="108"/>
        <v>0</v>
      </c>
      <c r="I261" s="9">
        <f t="shared" ca="1" si="109"/>
        <v>0</v>
      </c>
      <c r="J261" s="89">
        <f t="shared" ca="1" si="110"/>
        <v>0</v>
      </c>
      <c r="K261" s="9">
        <f t="shared" ca="1" si="111"/>
        <v>0</v>
      </c>
      <c r="L261" s="89">
        <f t="shared" ca="1" si="112"/>
        <v>0</v>
      </c>
      <c r="N261" s="9">
        <f t="shared" ca="1" si="113"/>
        <v>0</v>
      </c>
      <c r="O261" s="89">
        <f t="shared" ca="1" si="114"/>
        <v>0</v>
      </c>
      <c r="P261" s="9">
        <f t="shared" ca="1" si="115"/>
        <v>0</v>
      </c>
      <c r="Q261" s="89">
        <f t="shared" ca="1" si="116"/>
        <v>0</v>
      </c>
      <c r="R261" s="9">
        <f t="shared" ca="1" si="117"/>
        <v>0</v>
      </c>
      <c r="S261" s="89">
        <f t="shared" ca="1" si="118"/>
        <v>0</v>
      </c>
      <c r="T261" s="9">
        <f t="shared" ca="1" si="117"/>
        <v>0</v>
      </c>
      <c r="U261" s="89">
        <f t="shared" ca="1" si="119"/>
        <v>0</v>
      </c>
    </row>
    <row r="262" spans="1:21" s="4" customFormat="1" x14ac:dyDescent="0.25">
      <c r="A262" s="4">
        <f t="shared" si="104"/>
        <v>92108</v>
      </c>
      <c r="B262" s="6" t="str">
        <f t="shared" si="120"/>
        <v>S</v>
      </c>
      <c r="C262" s="153"/>
      <c r="E262" s="9">
        <f t="shared" ca="1" si="105"/>
        <v>4</v>
      </c>
      <c r="F262" s="89">
        <f t="shared" ca="1" si="106"/>
        <v>17591000</v>
      </c>
      <c r="G262" s="9">
        <f t="shared" ca="1" si="107"/>
        <v>0</v>
      </c>
      <c r="H262" s="89">
        <f t="shared" ca="1" si="108"/>
        <v>0</v>
      </c>
      <c r="I262" s="9">
        <f t="shared" ca="1" si="109"/>
        <v>1</v>
      </c>
      <c r="J262" s="89">
        <f t="shared" ca="1" si="110"/>
        <v>30450000</v>
      </c>
      <c r="K262" s="9">
        <f t="shared" ca="1" si="111"/>
        <v>2</v>
      </c>
      <c r="L262" s="89">
        <f t="shared" ca="1" si="112"/>
        <v>2313500</v>
      </c>
      <c r="N262" s="9">
        <f t="shared" ca="1" si="113"/>
        <v>0</v>
      </c>
      <c r="O262" s="89">
        <f t="shared" ca="1" si="114"/>
        <v>0</v>
      </c>
      <c r="P262" s="9">
        <f t="shared" ca="1" si="115"/>
        <v>0</v>
      </c>
      <c r="Q262" s="89">
        <f t="shared" ca="1" si="116"/>
        <v>0</v>
      </c>
      <c r="R262" s="9">
        <f t="shared" ca="1" si="117"/>
        <v>0</v>
      </c>
      <c r="S262" s="89">
        <f t="shared" ca="1" si="118"/>
        <v>0</v>
      </c>
      <c r="T262" s="9">
        <f t="shared" ca="1" si="117"/>
        <v>0</v>
      </c>
      <c r="U262" s="89">
        <f t="shared" ca="1" si="119"/>
        <v>0</v>
      </c>
    </row>
    <row r="263" spans="1:21" s="4" customFormat="1" x14ac:dyDescent="0.25">
      <c r="A263" s="4">
        <f t="shared" si="104"/>
        <v>92109</v>
      </c>
      <c r="B263" s="6" t="str">
        <f t="shared" si="120"/>
        <v>S</v>
      </c>
      <c r="C263" s="153"/>
      <c r="E263" s="9">
        <f t="shared" ca="1" si="105"/>
        <v>0</v>
      </c>
      <c r="F263" s="89">
        <f t="shared" ca="1" si="106"/>
        <v>0</v>
      </c>
      <c r="G263" s="9">
        <f t="shared" ca="1" si="107"/>
        <v>0</v>
      </c>
      <c r="H263" s="89">
        <f t="shared" ca="1" si="108"/>
        <v>0</v>
      </c>
      <c r="I263" s="9">
        <f t="shared" ca="1" si="109"/>
        <v>3</v>
      </c>
      <c r="J263" s="89">
        <f t="shared" ca="1" si="110"/>
        <v>18725000</v>
      </c>
      <c r="K263" s="9">
        <f t="shared" ca="1" si="111"/>
        <v>0</v>
      </c>
      <c r="L263" s="89">
        <f t="shared" ca="1" si="112"/>
        <v>0</v>
      </c>
      <c r="N263" s="9">
        <f t="shared" ca="1" si="113"/>
        <v>0</v>
      </c>
      <c r="O263" s="89">
        <f t="shared" ca="1" si="114"/>
        <v>0</v>
      </c>
      <c r="P263" s="9">
        <f t="shared" ca="1" si="115"/>
        <v>0</v>
      </c>
      <c r="Q263" s="89">
        <f t="shared" ca="1" si="116"/>
        <v>0</v>
      </c>
      <c r="R263" s="9">
        <f t="shared" ca="1" si="117"/>
        <v>0</v>
      </c>
      <c r="S263" s="89">
        <f t="shared" ca="1" si="118"/>
        <v>0</v>
      </c>
      <c r="T263" s="9">
        <f t="shared" ca="1" si="117"/>
        <v>0</v>
      </c>
      <c r="U263" s="89">
        <f t="shared" ca="1" si="119"/>
        <v>0</v>
      </c>
    </row>
    <row r="264" spans="1:21" s="4" customFormat="1" x14ac:dyDescent="0.25">
      <c r="A264" s="4">
        <f t="shared" si="104"/>
        <v>92110</v>
      </c>
      <c r="B264" s="6" t="str">
        <f t="shared" si="120"/>
        <v>S</v>
      </c>
      <c r="C264" s="153"/>
      <c r="E264" s="9">
        <f t="shared" ca="1" si="105"/>
        <v>2</v>
      </c>
      <c r="F264" s="89">
        <f t="shared" ca="1" si="106"/>
        <v>7611000</v>
      </c>
      <c r="G264" s="9">
        <f t="shared" ca="1" si="107"/>
        <v>0</v>
      </c>
      <c r="H264" s="89">
        <f t="shared" ca="1" si="108"/>
        <v>0</v>
      </c>
      <c r="I264" s="9">
        <f t="shared" ca="1" si="109"/>
        <v>1</v>
      </c>
      <c r="J264" s="89">
        <f t="shared" ca="1" si="110"/>
        <v>5285000</v>
      </c>
      <c r="K264" s="9">
        <f t="shared" ca="1" si="111"/>
        <v>0</v>
      </c>
      <c r="L264" s="89">
        <f t="shared" ca="1" si="112"/>
        <v>0</v>
      </c>
      <c r="N264" s="9">
        <f t="shared" ca="1" si="113"/>
        <v>0</v>
      </c>
      <c r="O264" s="89">
        <f t="shared" ca="1" si="114"/>
        <v>0</v>
      </c>
      <c r="P264" s="9">
        <f t="shared" ca="1" si="115"/>
        <v>1</v>
      </c>
      <c r="Q264" s="89">
        <f t="shared" ca="1" si="116"/>
        <v>1183000</v>
      </c>
      <c r="R264" s="9">
        <f t="shared" ca="1" si="117"/>
        <v>0</v>
      </c>
      <c r="S264" s="89">
        <f t="shared" ca="1" si="118"/>
        <v>0</v>
      </c>
      <c r="T264" s="9">
        <f t="shared" ca="1" si="117"/>
        <v>0</v>
      </c>
      <c r="U264" s="89">
        <f t="shared" ca="1" si="119"/>
        <v>0</v>
      </c>
    </row>
    <row r="265" spans="1:21" s="4" customFormat="1" x14ac:dyDescent="0.25">
      <c r="A265" s="4">
        <f t="shared" si="104"/>
        <v>92111</v>
      </c>
      <c r="B265" s="6" t="str">
        <f t="shared" si="120"/>
        <v>S</v>
      </c>
      <c r="C265" s="153"/>
      <c r="E265" s="9">
        <f t="shared" ca="1" si="105"/>
        <v>4</v>
      </c>
      <c r="F265" s="89">
        <f t="shared" ca="1" si="106"/>
        <v>12758000</v>
      </c>
      <c r="G265" s="9">
        <f t="shared" ca="1" si="107"/>
        <v>0</v>
      </c>
      <c r="H265" s="89">
        <f t="shared" ca="1" si="108"/>
        <v>0</v>
      </c>
      <c r="I265" s="9">
        <f t="shared" ca="1" si="109"/>
        <v>0</v>
      </c>
      <c r="J265" s="89">
        <f t="shared" ca="1" si="110"/>
        <v>0</v>
      </c>
      <c r="K265" s="9">
        <f t="shared" ca="1" si="111"/>
        <v>2</v>
      </c>
      <c r="L265" s="89">
        <f t="shared" ca="1" si="112"/>
        <v>3437000</v>
      </c>
      <c r="N265" s="9">
        <f t="shared" ca="1" si="113"/>
        <v>0</v>
      </c>
      <c r="O265" s="89">
        <f t="shared" ca="1" si="114"/>
        <v>0</v>
      </c>
      <c r="P265" s="9">
        <f t="shared" ca="1" si="115"/>
        <v>2</v>
      </c>
      <c r="Q265" s="89">
        <f t="shared" ca="1" si="116"/>
        <v>4263000</v>
      </c>
      <c r="R265" s="9">
        <f t="shared" ca="1" si="117"/>
        <v>0</v>
      </c>
      <c r="S265" s="89">
        <f t="shared" ca="1" si="118"/>
        <v>0</v>
      </c>
      <c r="T265" s="9">
        <f t="shared" ca="1" si="117"/>
        <v>0</v>
      </c>
      <c r="U265" s="89">
        <f t="shared" ca="1" si="119"/>
        <v>0</v>
      </c>
    </row>
    <row r="266" spans="1:21" s="4" customFormat="1" hidden="1" x14ac:dyDescent="0.25">
      <c r="A266" s="4">
        <f t="shared" si="104"/>
        <v>92112</v>
      </c>
      <c r="B266" s="6">
        <f t="shared" si="120"/>
        <v>0</v>
      </c>
      <c r="C266" s="153"/>
      <c r="E266" s="9">
        <f t="shared" ca="1" si="105"/>
        <v>0</v>
      </c>
      <c r="F266" s="89">
        <f t="shared" ca="1" si="106"/>
        <v>0</v>
      </c>
      <c r="G266" s="9">
        <f t="shared" ca="1" si="107"/>
        <v>0</v>
      </c>
      <c r="H266" s="89">
        <f t="shared" ca="1" si="108"/>
        <v>0</v>
      </c>
      <c r="I266" s="9">
        <f t="shared" ca="1" si="109"/>
        <v>0</v>
      </c>
      <c r="J266" s="89">
        <f t="shared" ca="1" si="110"/>
        <v>0</v>
      </c>
      <c r="K266" s="9">
        <f t="shared" ca="1" si="111"/>
        <v>0</v>
      </c>
      <c r="L266" s="89">
        <f t="shared" ca="1" si="112"/>
        <v>0</v>
      </c>
      <c r="N266" s="9">
        <f t="shared" ca="1" si="113"/>
        <v>0</v>
      </c>
      <c r="O266" s="89">
        <f t="shared" ca="1" si="114"/>
        <v>0</v>
      </c>
      <c r="P266" s="9">
        <f t="shared" ca="1" si="115"/>
        <v>0</v>
      </c>
      <c r="Q266" s="89">
        <f t="shared" ca="1" si="116"/>
        <v>0</v>
      </c>
      <c r="R266" s="9">
        <f t="shared" ca="1" si="117"/>
        <v>0</v>
      </c>
      <c r="S266" s="89">
        <f t="shared" ca="1" si="118"/>
        <v>0</v>
      </c>
      <c r="T266" s="9">
        <f t="shared" ca="1" si="117"/>
        <v>0</v>
      </c>
      <c r="U266" s="89">
        <f t="shared" ca="1" si="119"/>
        <v>0</v>
      </c>
    </row>
    <row r="267" spans="1:21" s="4" customFormat="1" x14ac:dyDescent="0.25">
      <c r="A267" s="4">
        <f t="shared" si="104"/>
        <v>92113</v>
      </c>
      <c r="B267" s="6" t="str">
        <f t="shared" si="120"/>
        <v>S</v>
      </c>
      <c r="C267" s="153"/>
      <c r="E267" s="9">
        <f t="shared" ca="1" si="105"/>
        <v>2</v>
      </c>
      <c r="F267" s="89">
        <f t="shared" ca="1" si="106"/>
        <v>6455500</v>
      </c>
      <c r="G267" s="9">
        <f t="shared" ca="1" si="107"/>
        <v>0</v>
      </c>
      <c r="H267" s="89">
        <f t="shared" ca="1" si="108"/>
        <v>0</v>
      </c>
      <c r="I267" s="9">
        <f t="shared" ca="1" si="109"/>
        <v>0</v>
      </c>
      <c r="J267" s="89">
        <f t="shared" ca="1" si="110"/>
        <v>0</v>
      </c>
      <c r="K267" s="9">
        <f t="shared" ca="1" si="111"/>
        <v>0</v>
      </c>
      <c r="L267" s="89">
        <f t="shared" ca="1" si="112"/>
        <v>0</v>
      </c>
      <c r="N267" s="9">
        <f t="shared" ca="1" si="113"/>
        <v>0</v>
      </c>
      <c r="O267" s="89">
        <f t="shared" ca="1" si="114"/>
        <v>0</v>
      </c>
      <c r="P267" s="9">
        <f t="shared" ca="1" si="115"/>
        <v>0</v>
      </c>
      <c r="Q267" s="89">
        <f t="shared" ca="1" si="116"/>
        <v>0</v>
      </c>
      <c r="R267" s="9">
        <f t="shared" ca="1" si="117"/>
        <v>0</v>
      </c>
      <c r="S267" s="89">
        <f t="shared" ca="1" si="118"/>
        <v>0</v>
      </c>
      <c r="T267" s="9">
        <f t="shared" ca="1" si="117"/>
        <v>1</v>
      </c>
      <c r="U267" s="89">
        <f t="shared" ca="1" si="119"/>
        <v>2586500</v>
      </c>
    </row>
    <row r="268" spans="1:21" s="4" customFormat="1" hidden="1" x14ac:dyDescent="0.25">
      <c r="A268" s="4">
        <f t="shared" si="104"/>
        <v>92114</v>
      </c>
      <c r="B268" s="6" t="str">
        <f t="shared" si="120"/>
        <v>S</v>
      </c>
      <c r="C268" s="153"/>
      <c r="E268" s="9">
        <f t="shared" ca="1" si="105"/>
        <v>0</v>
      </c>
      <c r="F268" s="89">
        <f t="shared" ca="1" si="106"/>
        <v>0</v>
      </c>
      <c r="G268" s="9">
        <f t="shared" ca="1" si="107"/>
        <v>0</v>
      </c>
      <c r="H268" s="89">
        <f t="shared" ca="1" si="108"/>
        <v>0</v>
      </c>
      <c r="I268" s="9">
        <f t="shared" ca="1" si="109"/>
        <v>0</v>
      </c>
      <c r="J268" s="89">
        <f t="shared" ca="1" si="110"/>
        <v>0</v>
      </c>
      <c r="K268" s="9">
        <f t="shared" ca="1" si="111"/>
        <v>0</v>
      </c>
      <c r="L268" s="89">
        <f t="shared" ca="1" si="112"/>
        <v>0</v>
      </c>
      <c r="N268" s="9">
        <f t="shared" ca="1" si="113"/>
        <v>0</v>
      </c>
      <c r="O268" s="89">
        <f t="shared" ca="1" si="114"/>
        <v>0</v>
      </c>
      <c r="P268" s="9">
        <f t="shared" ca="1" si="115"/>
        <v>0</v>
      </c>
      <c r="Q268" s="89">
        <f t="shared" ca="1" si="116"/>
        <v>0</v>
      </c>
      <c r="R268" s="9">
        <f t="shared" ca="1" si="117"/>
        <v>0</v>
      </c>
      <c r="S268" s="89">
        <f t="shared" ca="1" si="118"/>
        <v>0</v>
      </c>
      <c r="T268" s="9">
        <f t="shared" ca="1" si="117"/>
        <v>0</v>
      </c>
      <c r="U268" s="89">
        <f t="shared" ca="1" si="119"/>
        <v>0</v>
      </c>
    </row>
    <row r="269" spans="1:21" s="4" customFormat="1" x14ac:dyDescent="0.25">
      <c r="A269" s="4">
        <f t="shared" si="104"/>
        <v>92115</v>
      </c>
      <c r="B269" s="6" t="str">
        <f t="shared" si="120"/>
        <v>S</v>
      </c>
      <c r="C269" s="153"/>
      <c r="E269" s="9">
        <f t="shared" ca="1" si="105"/>
        <v>1</v>
      </c>
      <c r="F269" s="89">
        <f t="shared" ca="1" si="106"/>
        <v>6136000</v>
      </c>
      <c r="G269" s="9">
        <f t="shared" ca="1" si="107"/>
        <v>0</v>
      </c>
      <c r="H269" s="89">
        <f t="shared" ca="1" si="108"/>
        <v>0</v>
      </c>
      <c r="I269" s="9">
        <f t="shared" ca="1" si="109"/>
        <v>0</v>
      </c>
      <c r="J269" s="89">
        <f t="shared" ca="1" si="110"/>
        <v>0</v>
      </c>
      <c r="K269" s="9">
        <f t="shared" ca="1" si="111"/>
        <v>0</v>
      </c>
      <c r="L269" s="89">
        <f t="shared" ca="1" si="112"/>
        <v>0</v>
      </c>
      <c r="N269" s="9">
        <f t="shared" ca="1" si="113"/>
        <v>0</v>
      </c>
      <c r="O269" s="89">
        <f t="shared" ca="1" si="114"/>
        <v>0</v>
      </c>
      <c r="P269" s="9">
        <f t="shared" ca="1" si="115"/>
        <v>0</v>
      </c>
      <c r="Q269" s="89">
        <f t="shared" ca="1" si="116"/>
        <v>0</v>
      </c>
      <c r="R269" s="9">
        <f t="shared" ca="1" si="117"/>
        <v>0</v>
      </c>
      <c r="S269" s="89">
        <f t="shared" ca="1" si="118"/>
        <v>0</v>
      </c>
      <c r="T269" s="9">
        <f t="shared" ca="1" si="117"/>
        <v>0</v>
      </c>
      <c r="U269" s="89">
        <f t="shared" ca="1" si="119"/>
        <v>0</v>
      </c>
    </row>
    <row r="270" spans="1:21" s="4" customFormat="1" hidden="1" x14ac:dyDescent="0.25">
      <c r="A270" s="4">
        <f t="shared" si="104"/>
        <v>92116</v>
      </c>
      <c r="B270" s="6" t="str">
        <f t="shared" si="120"/>
        <v>S</v>
      </c>
      <c r="C270" s="153"/>
      <c r="E270" s="9">
        <f t="shared" ca="1" si="105"/>
        <v>0</v>
      </c>
      <c r="F270" s="89">
        <f t="shared" ca="1" si="106"/>
        <v>0</v>
      </c>
      <c r="G270" s="9">
        <f t="shared" ca="1" si="107"/>
        <v>0</v>
      </c>
      <c r="H270" s="89">
        <f t="shared" ca="1" si="108"/>
        <v>0</v>
      </c>
      <c r="I270" s="9">
        <f t="shared" ca="1" si="109"/>
        <v>0</v>
      </c>
      <c r="J270" s="89">
        <f t="shared" ca="1" si="110"/>
        <v>0</v>
      </c>
      <c r="K270" s="9">
        <f t="shared" ca="1" si="111"/>
        <v>0</v>
      </c>
      <c r="L270" s="89">
        <f t="shared" ca="1" si="112"/>
        <v>0</v>
      </c>
      <c r="N270" s="9">
        <f t="shared" ca="1" si="113"/>
        <v>0</v>
      </c>
      <c r="O270" s="89">
        <f t="shared" ca="1" si="114"/>
        <v>0</v>
      </c>
      <c r="P270" s="9">
        <f t="shared" ca="1" si="115"/>
        <v>0</v>
      </c>
      <c r="Q270" s="89">
        <f t="shared" ca="1" si="116"/>
        <v>0</v>
      </c>
      <c r="R270" s="9">
        <f t="shared" ca="1" si="117"/>
        <v>0</v>
      </c>
      <c r="S270" s="89">
        <f t="shared" ca="1" si="118"/>
        <v>0</v>
      </c>
      <c r="T270" s="9">
        <f t="shared" ca="1" si="117"/>
        <v>0</v>
      </c>
      <c r="U270" s="89">
        <f t="shared" ca="1" si="119"/>
        <v>0</v>
      </c>
    </row>
    <row r="271" spans="1:21" s="4" customFormat="1" x14ac:dyDescent="0.25">
      <c r="A271" s="4">
        <f t="shared" si="104"/>
        <v>92117</v>
      </c>
      <c r="B271" s="6" t="str">
        <f t="shared" si="120"/>
        <v>S</v>
      </c>
      <c r="C271" s="153"/>
      <c r="E271" s="9">
        <f t="shared" ca="1" si="105"/>
        <v>2</v>
      </c>
      <c r="F271" s="89">
        <f t="shared" ca="1" si="106"/>
        <v>3536400</v>
      </c>
      <c r="G271" s="9">
        <f t="shared" ca="1" si="107"/>
        <v>0</v>
      </c>
      <c r="H271" s="89">
        <f t="shared" ca="1" si="108"/>
        <v>0</v>
      </c>
      <c r="I271" s="9">
        <f t="shared" ca="1" si="109"/>
        <v>0</v>
      </c>
      <c r="J271" s="89">
        <f t="shared" ca="1" si="110"/>
        <v>0</v>
      </c>
      <c r="K271" s="9">
        <f t="shared" ca="1" si="111"/>
        <v>0</v>
      </c>
      <c r="L271" s="89">
        <f t="shared" ca="1" si="112"/>
        <v>0</v>
      </c>
      <c r="N271" s="9">
        <f t="shared" ca="1" si="113"/>
        <v>0</v>
      </c>
      <c r="O271" s="89">
        <f t="shared" ca="1" si="114"/>
        <v>0</v>
      </c>
      <c r="P271" s="9">
        <f t="shared" ca="1" si="115"/>
        <v>0</v>
      </c>
      <c r="Q271" s="89">
        <f t="shared" ca="1" si="116"/>
        <v>0</v>
      </c>
      <c r="R271" s="9">
        <f t="shared" ca="1" si="117"/>
        <v>0</v>
      </c>
      <c r="S271" s="89">
        <f t="shared" ca="1" si="118"/>
        <v>0</v>
      </c>
      <c r="T271" s="9">
        <f t="shared" ca="1" si="117"/>
        <v>0</v>
      </c>
      <c r="U271" s="89">
        <f t="shared" ca="1" si="119"/>
        <v>0</v>
      </c>
    </row>
    <row r="272" spans="1:21" s="4" customFormat="1" hidden="1" x14ac:dyDescent="0.25">
      <c r="A272" s="4">
        <f t="shared" si="104"/>
        <v>92118</v>
      </c>
      <c r="B272" s="6">
        <f t="shared" si="120"/>
        <v>0</v>
      </c>
      <c r="C272" s="153"/>
      <c r="E272" s="9">
        <f t="shared" ca="1" si="105"/>
        <v>0</v>
      </c>
      <c r="F272" s="89">
        <f t="shared" ca="1" si="106"/>
        <v>0</v>
      </c>
      <c r="G272" s="9">
        <f t="shared" ca="1" si="107"/>
        <v>0</v>
      </c>
      <c r="H272" s="89">
        <f t="shared" ca="1" si="108"/>
        <v>0</v>
      </c>
      <c r="I272" s="9">
        <f t="shared" ca="1" si="109"/>
        <v>0</v>
      </c>
      <c r="J272" s="89">
        <f t="shared" ca="1" si="110"/>
        <v>0</v>
      </c>
      <c r="K272" s="9">
        <f t="shared" ca="1" si="111"/>
        <v>0</v>
      </c>
      <c r="L272" s="89">
        <f t="shared" ca="1" si="112"/>
        <v>0</v>
      </c>
      <c r="N272" s="9">
        <f t="shared" ca="1" si="113"/>
        <v>0</v>
      </c>
      <c r="O272" s="89">
        <f t="shared" ca="1" si="114"/>
        <v>0</v>
      </c>
      <c r="P272" s="9">
        <f t="shared" ca="1" si="115"/>
        <v>0</v>
      </c>
      <c r="Q272" s="89">
        <f t="shared" ca="1" si="116"/>
        <v>0</v>
      </c>
      <c r="R272" s="9">
        <f t="shared" ca="1" si="117"/>
        <v>0</v>
      </c>
      <c r="S272" s="89">
        <f t="shared" ca="1" si="118"/>
        <v>0</v>
      </c>
      <c r="T272" s="9">
        <f t="shared" ca="1" si="117"/>
        <v>0</v>
      </c>
      <c r="U272" s="89">
        <f t="shared" ca="1" si="119"/>
        <v>0</v>
      </c>
    </row>
    <row r="273" spans="1:21" s="4" customFormat="1" hidden="1" x14ac:dyDescent="0.25">
      <c r="A273" s="4">
        <f t="shared" si="104"/>
        <v>92119</v>
      </c>
      <c r="B273" s="6" t="str">
        <f t="shared" si="120"/>
        <v>N</v>
      </c>
      <c r="C273" s="153"/>
      <c r="E273" s="9">
        <f t="shared" ca="1" si="105"/>
        <v>0</v>
      </c>
      <c r="F273" s="89">
        <f t="shared" ca="1" si="106"/>
        <v>0</v>
      </c>
      <c r="G273" s="9">
        <f t="shared" ca="1" si="107"/>
        <v>0</v>
      </c>
      <c r="H273" s="89">
        <f t="shared" ca="1" si="108"/>
        <v>0</v>
      </c>
      <c r="I273" s="9">
        <f t="shared" ca="1" si="109"/>
        <v>0</v>
      </c>
      <c r="J273" s="89">
        <f t="shared" ca="1" si="110"/>
        <v>0</v>
      </c>
      <c r="K273" s="9">
        <f t="shared" ca="1" si="111"/>
        <v>0</v>
      </c>
      <c r="L273" s="89">
        <f t="shared" ca="1" si="112"/>
        <v>0</v>
      </c>
      <c r="N273" s="9">
        <f t="shared" ca="1" si="113"/>
        <v>0</v>
      </c>
      <c r="O273" s="89">
        <f t="shared" ca="1" si="114"/>
        <v>0</v>
      </c>
      <c r="P273" s="9">
        <f t="shared" ca="1" si="115"/>
        <v>0</v>
      </c>
      <c r="Q273" s="89">
        <f t="shared" ca="1" si="116"/>
        <v>0</v>
      </c>
      <c r="R273" s="9">
        <f t="shared" ca="1" si="117"/>
        <v>0</v>
      </c>
      <c r="S273" s="89">
        <f t="shared" ca="1" si="118"/>
        <v>0</v>
      </c>
      <c r="T273" s="9">
        <f t="shared" ca="1" si="117"/>
        <v>0</v>
      </c>
      <c r="U273" s="89">
        <f t="shared" ca="1" si="119"/>
        <v>0</v>
      </c>
    </row>
    <row r="274" spans="1:21" s="4" customFormat="1" x14ac:dyDescent="0.25">
      <c r="A274" s="4">
        <f t="shared" si="104"/>
        <v>92120</v>
      </c>
      <c r="B274" s="6" t="str">
        <f t="shared" si="120"/>
        <v>S</v>
      </c>
      <c r="C274" s="153"/>
      <c r="E274" s="9">
        <f t="shared" ca="1" si="105"/>
        <v>2</v>
      </c>
      <c r="F274" s="89">
        <f t="shared" ca="1" si="106"/>
        <v>5302000</v>
      </c>
      <c r="G274" s="9">
        <f t="shared" ca="1" si="107"/>
        <v>0</v>
      </c>
      <c r="H274" s="89">
        <f t="shared" ca="1" si="108"/>
        <v>0</v>
      </c>
      <c r="I274" s="9">
        <f t="shared" ca="1" si="109"/>
        <v>0</v>
      </c>
      <c r="J274" s="89">
        <f t="shared" ca="1" si="110"/>
        <v>0</v>
      </c>
      <c r="K274" s="9">
        <f t="shared" ca="1" si="111"/>
        <v>0</v>
      </c>
      <c r="L274" s="89">
        <f t="shared" ca="1" si="112"/>
        <v>0</v>
      </c>
      <c r="N274" s="9">
        <f t="shared" ca="1" si="113"/>
        <v>0</v>
      </c>
      <c r="O274" s="89">
        <f t="shared" ca="1" si="114"/>
        <v>0</v>
      </c>
      <c r="P274" s="9">
        <f t="shared" ca="1" si="115"/>
        <v>0</v>
      </c>
      <c r="Q274" s="89">
        <f t="shared" ca="1" si="116"/>
        <v>0</v>
      </c>
      <c r="R274" s="9">
        <f t="shared" ca="1" si="117"/>
        <v>0</v>
      </c>
      <c r="S274" s="89">
        <f t="shared" ca="1" si="118"/>
        <v>0</v>
      </c>
      <c r="T274" s="9">
        <f t="shared" ca="1" si="117"/>
        <v>0</v>
      </c>
      <c r="U274" s="89">
        <f t="shared" ca="1" si="119"/>
        <v>0</v>
      </c>
    </row>
    <row r="275" spans="1:21" s="4" customFormat="1" x14ac:dyDescent="0.25">
      <c r="A275" s="4">
        <f t="shared" si="104"/>
        <v>92121</v>
      </c>
      <c r="B275" s="6" t="str">
        <f t="shared" si="120"/>
        <v>N</v>
      </c>
      <c r="C275" s="153"/>
      <c r="E275" s="9">
        <f t="shared" ca="1" si="105"/>
        <v>0</v>
      </c>
      <c r="F275" s="89">
        <f t="shared" ca="1" si="106"/>
        <v>0</v>
      </c>
      <c r="G275" s="9">
        <f t="shared" ca="1" si="107"/>
        <v>0</v>
      </c>
      <c r="H275" s="89">
        <f t="shared" ca="1" si="108"/>
        <v>0</v>
      </c>
      <c r="I275" s="9">
        <f t="shared" ca="1" si="109"/>
        <v>0</v>
      </c>
      <c r="J275" s="89">
        <f t="shared" ca="1" si="110"/>
        <v>0</v>
      </c>
      <c r="K275" s="9">
        <f t="shared" ca="1" si="111"/>
        <v>7</v>
      </c>
      <c r="L275" s="89">
        <f t="shared" ca="1" si="112"/>
        <v>13020000</v>
      </c>
      <c r="N275" s="9">
        <f t="shared" ca="1" si="113"/>
        <v>0</v>
      </c>
      <c r="O275" s="89">
        <f t="shared" ca="1" si="114"/>
        <v>0</v>
      </c>
      <c r="P275" s="9">
        <f t="shared" ca="1" si="115"/>
        <v>0</v>
      </c>
      <c r="Q275" s="89">
        <f t="shared" ca="1" si="116"/>
        <v>0</v>
      </c>
      <c r="R275" s="9">
        <f t="shared" ca="1" si="117"/>
        <v>0</v>
      </c>
      <c r="S275" s="89">
        <f t="shared" ca="1" si="118"/>
        <v>0</v>
      </c>
      <c r="T275" s="9">
        <f t="shared" ca="1" si="117"/>
        <v>0</v>
      </c>
      <c r="U275" s="89">
        <f t="shared" ca="1" si="119"/>
        <v>0</v>
      </c>
    </row>
    <row r="276" spans="1:21" s="4" customFormat="1" x14ac:dyDescent="0.25">
      <c r="A276" s="4">
        <f t="shared" si="104"/>
        <v>92122</v>
      </c>
      <c r="B276" s="6" t="str">
        <f t="shared" si="120"/>
        <v>S</v>
      </c>
      <c r="C276" s="153"/>
      <c r="E276" s="9">
        <f t="shared" ca="1" si="105"/>
        <v>1</v>
      </c>
      <c r="F276" s="89">
        <f t="shared" ca="1" si="106"/>
        <v>4893000</v>
      </c>
      <c r="G276" s="9">
        <f t="shared" ca="1" si="107"/>
        <v>0</v>
      </c>
      <c r="H276" s="89">
        <f t="shared" ca="1" si="108"/>
        <v>0</v>
      </c>
      <c r="I276" s="9">
        <f t="shared" ca="1" si="109"/>
        <v>0</v>
      </c>
      <c r="J276" s="89">
        <f t="shared" ca="1" si="110"/>
        <v>0</v>
      </c>
      <c r="K276" s="9">
        <f t="shared" ca="1" si="111"/>
        <v>1</v>
      </c>
      <c r="L276" s="89">
        <f t="shared" ca="1" si="112"/>
        <v>896000</v>
      </c>
      <c r="N276" s="9">
        <f t="shared" ca="1" si="113"/>
        <v>0</v>
      </c>
      <c r="O276" s="89">
        <f t="shared" ca="1" si="114"/>
        <v>0</v>
      </c>
      <c r="P276" s="9">
        <f t="shared" ca="1" si="115"/>
        <v>0</v>
      </c>
      <c r="Q276" s="89">
        <f t="shared" ca="1" si="116"/>
        <v>0</v>
      </c>
      <c r="R276" s="9">
        <f t="shared" ca="1" si="117"/>
        <v>0</v>
      </c>
      <c r="S276" s="89">
        <f t="shared" ca="1" si="118"/>
        <v>0</v>
      </c>
      <c r="T276" s="9">
        <f t="shared" ca="1" si="117"/>
        <v>0</v>
      </c>
      <c r="U276" s="89">
        <f t="shared" ca="1" si="119"/>
        <v>0</v>
      </c>
    </row>
    <row r="277" spans="1:21" s="4" customFormat="1" x14ac:dyDescent="0.25">
      <c r="A277" s="4">
        <f t="shared" si="104"/>
        <v>92123</v>
      </c>
      <c r="B277" s="6" t="str">
        <f t="shared" si="120"/>
        <v>S</v>
      </c>
      <c r="C277" s="153"/>
      <c r="E277" s="9">
        <f t="shared" ca="1" si="105"/>
        <v>2</v>
      </c>
      <c r="F277" s="89">
        <f t="shared" ca="1" si="106"/>
        <v>6313000</v>
      </c>
      <c r="G277" s="9">
        <f t="shared" ca="1" si="107"/>
        <v>0</v>
      </c>
      <c r="H277" s="89">
        <f t="shared" ca="1" si="108"/>
        <v>0</v>
      </c>
      <c r="I277" s="9">
        <f t="shared" ca="1" si="109"/>
        <v>0</v>
      </c>
      <c r="J277" s="89">
        <f t="shared" ca="1" si="110"/>
        <v>0</v>
      </c>
      <c r="K277" s="9">
        <f t="shared" ca="1" si="111"/>
        <v>3</v>
      </c>
      <c r="L277" s="89">
        <f t="shared" ca="1" si="112"/>
        <v>6234000</v>
      </c>
      <c r="N277" s="9">
        <f t="shared" ca="1" si="113"/>
        <v>0</v>
      </c>
      <c r="O277" s="89">
        <f t="shared" ca="1" si="114"/>
        <v>0</v>
      </c>
      <c r="P277" s="9">
        <f t="shared" ca="1" si="115"/>
        <v>1</v>
      </c>
      <c r="Q277" s="89">
        <f t="shared" ca="1" si="116"/>
        <v>1855420</v>
      </c>
      <c r="R277" s="9">
        <f t="shared" ca="1" si="117"/>
        <v>2</v>
      </c>
      <c r="S277" s="89">
        <f t="shared" ca="1" si="118"/>
        <v>2609000</v>
      </c>
      <c r="T277" s="9">
        <f t="shared" ca="1" si="117"/>
        <v>0</v>
      </c>
      <c r="U277" s="89">
        <f t="shared" ca="1" si="119"/>
        <v>0</v>
      </c>
    </row>
    <row r="278" spans="1:21" s="4" customFormat="1" hidden="1" x14ac:dyDescent="0.25">
      <c r="A278" s="4">
        <f t="shared" si="104"/>
        <v>92124</v>
      </c>
      <c r="B278" s="6">
        <f t="shared" si="120"/>
        <v>0</v>
      </c>
      <c r="C278" s="153"/>
      <c r="E278" s="9">
        <f t="shared" ca="1" si="105"/>
        <v>0</v>
      </c>
      <c r="F278" s="89">
        <f t="shared" ca="1" si="106"/>
        <v>0</v>
      </c>
      <c r="G278" s="9">
        <f t="shared" ca="1" si="107"/>
        <v>0</v>
      </c>
      <c r="H278" s="89">
        <f t="shared" ca="1" si="108"/>
        <v>0</v>
      </c>
      <c r="I278" s="9">
        <f t="shared" ca="1" si="109"/>
        <v>0</v>
      </c>
      <c r="J278" s="89">
        <f t="shared" ca="1" si="110"/>
        <v>0</v>
      </c>
      <c r="K278" s="9">
        <f t="shared" ca="1" si="111"/>
        <v>0</v>
      </c>
      <c r="L278" s="89">
        <f t="shared" ca="1" si="112"/>
        <v>0</v>
      </c>
      <c r="N278" s="9">
        <f t="shared" ca="1" si="113"/>
        <v>0</v>
      </c>
      <c r="O278" s="89">
        <f t="shared" ca="1" si="114"/>
        <v>0</v>
      </c>
      <c r="P278" s="9">
        <f t="shared" ca="1" si="115"/>
        <v>0</v>
      </c>
      <c r="Q278" s="89">
        <f t="shared" ca="1" si="116"/>
        <v>0</v>
      </c>
      <c r="R278" s="9">
        <f t="shared" ca="1" si="117"/>
        <v>0</v>
      </c>
      <c r="S278" s="89">
        <f t="shared" ca="1" si="118"/>
        <v>0</v>
      </c>
      <c r="T278" s="9">
        <f t="shared" ca="1" si="117"/>
        <v>0</v>
      </c>
      <c r="U278" s="89">
        <f t="shared" ca="1" si="119"/>
        <v>0</v>
      </c>
    </row>
    <row r="279" spans="1:21" s="4" customFormat="1" hidden="1" x14ac:dyDescent="0.25">
      <c r="A279" s="58">
        <f t="shared" si="104"/>
        <v>92125</v>
      </c>
      <c r="B279" s="6">
        <f t="shared" si="120"/>
        <v>0</v>
      </c>
      <c r="C279" s="153"/>
      <c r="E279" s="9">
        <f t="shared" ca="1" si="105"/>
        <v>0</v>
      </c>
      <c r="F279" s="89">
        <f t="shared" ca="1" si="106"/>
        <v>0</v>
      </c>
      <c r="G279" s="9">
        <f t="shared" ca="1" si="107"/>
        <v>0</v>
      </c>
      <c r="H279" s="89">
        <f t="shared" ca="1" si="108"/>
        <v>0</v>
      </c>
      <c r="I279" s="9">
        <f t="shared" ca="1" si="109"/>
        <v>0</v>
      </c>
      <c r="J279" s="89">
        <f t="shared" ca="1" si="110"/>
        <v>0</v>
      </c>
      <c r="K279" s="9">
        <f t="shared" ca="1" si="111"/>
        <v>0</v>
      </c>
      <c r="L279" s="89">
        <f t="shared" ca="1" si="112"/>
        <v>0</v>
      </c>
      <c r="N279" s="9">
        <f t="shared" ca="1" si="113"/>
        <v>0</v>
      </c>
      <c r="O279" s="89">
        <f t="shared" ca="1" si="114"/>
        <v>0</v>
      </c>
      <c r="P279" s="9">
        <f t="shared" ca="1" si="115"/>
        <v>0</v>
      </c>
      <c r="Q279" s="89">
        <f t="shared" ca="1" si="116"/>
        <v>0</v>
      </c>
      <c r="R279" s="9">
        <f t="shared" ca="1" si="117"/>
        <v>0</v>
      </c>
      <c r="S279" s="89">
        <f t="shared" ca="1" si="118"/>
        <v>0</v>
      </c>
      <c r="T279" s="9">
        <f t="shared" ca="1" si="117"/>
        <v>0</v>
      </c>
      <c r="U279" s="89">
        <f t="shared" ca="1" si="119"/>
        <v>0</v>
      </c>
    </row>
    <row r="280" spans="1:21" s="4" customFormat="1" x14ac:dyDescent="0.25">
      <c r="A280" s="4">
        <f t="shared" si="104"/>
        <v>92126</v>
      </c>
      <c r="B280" s="6" t="str">
        <f t="shared" si="120"/>
        <v>N</v>
      </c>
      <c r="C280" s="153"/>
      <c r="E280" s="9">
        <f t="shared" ca="1" si="105"/>
        <v>2</v>
      </c>
      <c r="F280" s="89">
        <f t="shared" ca="1" si="106"/>
        <v>8736000</v>
      </c>
      <c r="G280" s="9">
        <f t="shared" ca="1" si="107"/>
        <v>0</v>
      </c>
      <c r="H280" s="89">
        <f t="shared" ca="1" si="108"/>
        <v>0</v>
      </c>
      <c r="I280" s="9">
        <f t="shared" ca="1" si="109"/>
        <v>0</v>
      </c>
      <c r="J280" s="89">
        <f t="shared" ca="1" si="110"/>
        <v>0</v>
      </c>
      <c r="K280" s="9">
        <f t="shared" ca="1" si="111"/>
        <v>0</v>
      </c>
      <c r="L280" s="89">
        <f t="shared" ca="1" si="112"/>
        <v>0</v>
      </c>
      <c r="N280" s="9">
        <f t="shared" ca="1" si="113"/>
        <v>0</v>
      </c>
      <c r="O280" s="89">
        <f t="shared" ca="1" si="114"/>
        <v>0</v>
      </c>
      <c r="P280" s="9">
        <f t="shared" ca="1" si="115"/>
        <v>1</v>
      </c>
      <c r="Q280" s="89">
        <f t="shared" ca="1" si="116"/>
        <v>2436000</v>
      </c>
      <c r="R280" s="9">
        <f t="shared" ca="1" si="117"/>
        <v>0</v>
      </c>
      <c r="S280" s="89">
        <f t="shared" ca="1" si="118"/>
        <v>0</v>
      </c>
      <c r="T280" s="9">
        <f t="shared" ca="1" si="117"/>
        <v>0</v>
      </c>
      <c r="U280" s="89">
        <f t="shared" ca="1" si="119"/>
        <v>0</v>
      </c>
    </row>
    <row r="281" spans="1:21" s="4" customFormat="1" x14ac:dyDescent="0.25">
      <c r="A281" s="4">
        <f t="shared" si="104"/>
        <v>92127</v>
      </c>
      <c r="B281" s="6" t="str">
        <f t="shared" si="120"/>
        <v>N</v>
      </c>
      <c r="C281" s="153"/>
      <c r="E281" s="9">
        <f t="shared" ca="1" si="105"/>
        <v>1</v>
      </c>
      <c r="F281" s="89">
        <f t="shared" ca="1" si="106"/>
        <v>2713000</v>
      </c>
      <c r="G281" s="9">
        <f t="shared" ca="1" si="107"/>
        <v>0</v>
      </c>
      <c r="H281" s="89">
        <f t="shared" ca="1" si="108"/>
        <v>0</v>
      </c>
      <c r="I281" s="9">
        <f t="shared" ca="1" si="109"/>
        <v>0</v>
      </c>
      <c r="J281" s="89">
        <f t="shared" ca="1" si="110"/>
        <v>0</v>
      </c>
      <c r="K281" s="9">
        <f t="shared" ca="1" si="111"/>
        <v>3</v>
      </c>
      <c r="L281" s="89">
        <f t="shared" ca="1" si="112"/>
        <v>12219000</v>
      </c>
      <c r="N281" s="9">
        <f t="shared" ca="1" si="113"/>
        <v>1</v>
      </c>
      <c r="O281" s="89">
        <f t="shared" ca="1" si="114"/>
        <v>1319000</v>
      </c>
      <c r="P281" s="9">
        <f t="shared" ca="1" si="115"/>
        <v>1</v>
      </c>
      <c r="Q281" s="89">
        <f t="shared" ca="1" si="116"/>
        <v>2044000</v>
      </c>
      <c r="R281" s="9">
        <f t="shared" ca="1" si="117"/>
        <v>0</v>
      </c>
      <c r="S281" s="89">
        <f t="shared" ca="1" si="118"/>
        <v>0</v>
      </c>
      <c r="T281" s="9">
        <f t="shared" ca="1" si="117"/>
        <v>0</v>
      </c>
      <c r="U281" s="89">
        <f t="shared" ca="1" si="119"/>
        <v>0</v>
      </c>
    </row>
    <row r="282" spans="1:21" s="4" customFormat="1" x14ac:dyDescent="0.25">
      <c r="A282" s="4">
        <f t="shared" si="104"/>
        <v>92128</v>
      </c>
      <c r="B282" s="6" t="str">
        <f t="shared" si="120"/>
        <v>N</v>
      </c>
      <c r="C282" s="153"/>
      <c r="E282" s="9">
        <f t="shared" ca="1" si="105"/>
        <v>4</v>
      </c>
      <c r="F282" s="89">
        <f t="shared" ca="1" si="106"/>
        <v>11562000</v>
      </c>
      <c r="G282" s="9">
        <f t="shared" ca="1" si="107"/>
        <v>0</v>
      </c>
      <c r="H282" s="89">
        <f t="shared" ca="1" si="108"/>
        <v>0</v>
      </c>
      <c r="I282" s="9">
        <f t="shared" ca="1" si="109"/>
        <v>0</v>
      </c>
      <c r="J282" s="89">
        <f t="shared" ca="1" si="110"/>
        <v>0</v>
      </c>
      <c r="K282" s="9">
        <f t="shared" ca="1" si="111"/>
        <v>0</v>
      </c>
      <c r="L282" s="89">
        <f t="shared" ca="1" si="112"/>
        <v>0</v>
      </c>
      <c r="N282" s="9">
        <f t="shared" ca="1" si="113"/>
        <v>0</v>
      </c>
      <c r="O282" s="89">
        <f t="shared" ca="1" si="114"/>
        <v>0</v>
      </c>
      <c r="P282" s="9">
        <f t="shared" ca="1" si="115"/>
        <v>0</v>
      </c>
      <c r="Q282" s="89">
        <f t="shared" ca="1" si="116"/>
        <v>0</v>
      </c>
      <c r="R282" s="9">
        <f t="shared" ca="1" si="117"/>
        <v>0</v>
      </c>
      <c r="S282" s="89">
        <f t="shared" ca="1" si="118"/>
        <v>0</v>
      </c>
      <c r="T282" s="9">
        <f t="shared" ca="1" si="117"/>
        <v>0</v>
      </c>
      <c r="U282" s="89">
        <f t="shared" ca="1" si="119"/>
        <v>0</v>
      </c>
    </row>
    <row r="283" spans="1:21" s="4" customFormat="1" x14ac:dyDescent="0.25">
      <c r="A283" s="4">
        <f t="shared" si="104"/>
        <v>92129</v>
      </c>
      <c r="B283" s="6" t="str">
        <f t="shared" si="120"/>
        <v>N</v>
      </c>
      <c r="C283" s="153"/>
      <c r="E283" s="9">
        <f t="shared" ca="1" si="105"/>
        <v>1</v>
      </c>
      <c r="F283" s="89">
        <f t="shared" ca="1" si="106"/>
        <v>1085000</v>
      </c>
      <c r="G283" s="9">
        <f t="shared" ca="1" si="107"/>
        <v>0</v>
      </c>
      <c r="H283" s="89">
        <f t="shared" ca="1" si="108"/>
        <v>0</v>
      </c>
      <c r="I283" s="9">
        <f t="shared" ca="1" si="109"/>
        <v>0</v>
      </c>
      <c r="J283" s="89">
        <f t="shared" ca="1" si="110"/>
        <v>0</v>
      </c>
      <c r="K283" s="9">
        <f t="shared" ca="1" si="111"/>
        <v>0</v>
      </c>
      <c r="L283" s="89">
        <f t="shared" ca="1" si="112"/>
        <v>0</v>
      </c>
      <c r="N283" s="9">
        <f t="shared" ca="1" si="113"/>
        <v>0</v>
      </c>
      <c r="O283" s="89">
        <f t="shared" ca="1" si="114"/>
        <v>0</v>
      </c>
      <c r="P283" s="9">
        <f t="shared" ca="1" si="115"/>
        <v>2</v>
      </c>
      <c r="Q283" s="89">
        <f t="shared" ca="1" si="116"/>
        <v>3073000</v>
      </c>
      <c r="R283" s="9">
        <f t="shared" ca="1" si="117"/>
        <v>0</v>
      </c>
      <c r="S283" s="89">
        <f t="shared" ca="1" si="118"/>
        <v>0</v>
      </c>
      <c r="T283" s="9">
        <f t="shared" ca="1" si="117"/>
        <v>0</v>
      </c>
      <c r="U283" s="89">
        <f t="shared" ca="1" si="119"/>
        <v>0</v>
      </c>
    </row>
    <row r="284" spans="1:21" s="4" customFormat="1" x14ac:dyDescent="0.25">
      <c r="A284" s="4">
        <f t="shared" si="104"/>
        <v>92130</v>
      </c>
      <c r="B284" s="6" t="str">
        <f t="shared" si="120"/>
        <v>N</v>
      </c>
      <c r="C284" s="153"/>
      <c r="E284" s="9">
        <f t="shared" ca="1" si="105"/>
        <v>1</v>
      </c>
      <c r="F284" s="89">
        <f t="shared" ca="1" si="106"/>
        <v>2961000</v>
      </c>
      <c r="G284" s="9">
        <f t="shared" ca="1" si="107"/>
        <v>0</v>
      </c>
      <c r="H284" s="89">
        <f t="shared" ca="1" si="108"/>
        <v>0</v>
      </c>
      <c r="I284" s="9">
        <f t="shared" ca="1" si="109"/>
        <v>0</v>
      </c>
      <c r="J284" s="89">
        <f t="shared" ca="1" si="110"/>
        <v>0</v>
      </c>
      <c r="K284" s="9">
        <f t="shared" ca="1" si="111"/>
        <v>1</v>
      </c>
      <c r="L284" s="89">
        <f t="shared" ca="1" si="112"/>
        <v>1435000</v>
      </c>
      <c r="N284" s="9">
        <f t="shared" ca="1" si="113"/>
        <v>0</v>
      </c>
      <c r="O284" s="89">
        <f t="shared" ca="1" si="114"/>
        <v>0</v>
      </c>
      <c r="P284" s="9">
        <f t="shared" ca="1" si="115"/>
        <v>2</v>
      </c>
      <c r="Q284" s="89">
        <f t="shared" ca="1" si="116"/>
        <v>4956000</v>
      </c>
      <c r="R284" s="9">
        <f t="shared" ca="1" si="117"/>
        <v>0</v>
      </c>
      <c r="S284" s="89">
        <f t="shared" ca="1" si="118"/>
        <v>0</v>
      </c>
      <c r="T284" s="9">
        <f t="shared" ca="1" si="117"/>
        <v>0</v>
      </c>
      <c r="U284" s="89">
        <f t="shared" ca="1" si="119"/>
        <v>0</v>
      </c>
    </row>
    <row r="285" spans="1:21" s="4" customFormat="1" x14ac:dyDescent="0.25">
      <c r="A285" s="4">
        <f t="shared" ref="A285:A316" si="121">A50</f>
        <v>92131</v>
      </c>
      <c r="B285" s="6" t="str">
        <f t="shared" si="120"/>
        <v>N</v>
      </c>
      <c r="C285" s="153"/>
      <c r="E285" s="9">
        <f t="shared" ref="E285:E316" ca="1" si="122">COUNTIFS(Map_Sym,E$251,ZIP_5,$A285)</f>
        <v>1</v>
      </c>
      <c r="F285" s="89">
        <f t="shared" ref="F285:F316" ca="1" si="123">SUMIFS(Site_Sum_W,Map_Sym,E$251,ZIP_5,$A285)</f>
        <v>1778000</v>
      </c>
      <c r="G285" s="9">
        <f t="shared" ref="G285:G316" ca="1" si="124">COUNTIFS(Map_Sym,G$251,ZIP_5,$A285)</f>
        <v>0</v>
      </c>
      <c r="H285" s="89">
        <f t="shared" ref="H285:H316" ca="1" si="125">SUMIFS(Site_Sum_W,Map_Sym,G$251,ZIP_5,$A285)</f>
        <v>0</v>
      </c>
      <c r="I285" s="9">
        <f t="shared" ref="I285:I316" ca="1" si="126">COUNTIFS(Map_Sym,I$251,ZIP_5,$A285)</f>
        <v>0</v>
      </c>
      <c r="J285" s="89">
        <f t="shared" ref="J285:J316" ca="1" si="127">SUMIFS(Site_Sum_W,Map_Sym,I$251,ZIP_5,$A285)</f>
        <v>0</v>
      </c>
      <c r="K285" s="9">
        <f t="shared" ref="K285:K316" ca="1" si="128">COUNTIFS(Map_Sym,K$251,ZIP_5,$A285)</f>
        <v>0</v>
      </c>
      <c r="L285" s="89">
        <f t="shared" ref="L285:L316" ca="1" si="129">SUMIFS(Site_Sum_W,Map_Sym,K$251,ZIP_5,$A285)</f>
        <v>0</v>
      </c>
      <c r="N285" s="9">
        <f t="shared" ref="N285:N316" ca="1" si="130">COUNTIFS(Map_Sym,N$251,ZIP_5,$A285)</f>
        <v>0</v>
      </c>
      <c r="O285" s="89">
        <f t="shared" ref="O285:O316" ca="1" si="131">SUMIFS(Site_Sum_W,Map_Sym,N$251,ZIP_5,$A285)</f>
        <v>0</v>
      </c>
      <c r="P285" s="9">
        <f t="shared" ref="P285:P316" ca="1" si="132">COUNTIFS(Map_Sym,P$251,ZIP_5,$A285)</f>
        <v>0</v>
      </c>
      <c r="Q285" s="89">
        <f t="shared" ref="Q285:Q316" ca="1" si="133">SUMIFS(Site_Sum_W,Map_Sym,P$251,ZIP_5,$A285)</f>
        <v>0</v>
      </c>
      <c r="R285" s="9">
        <f t="shared" ref="R285:T316" ca="1" si="134">COUNTIFS(Map_Sym,R$251,ZIP_5,$A285)</f>
        <v>0</v>
      </c>
      <c r="S285" s="89">
        <f t="shared" ref="S285:S316" ca="1" si="135">SUMIFS(Site_Sum_W,Map_Sym,R$251,ZIP_5,$A285)</f>
        <v>0</v>
      </c>
      <c r="T285" s="9">
        <f t="shared" ca="1" si="134"/>
        <v>0</v>
      </c>
      <c r="U285" s="89">
        <f t="shared" ca="1" si="119"/>
        <v>0</v>
      </c>
    </row>
    <row r="286" spans="1:21" s="4" customFormat="1" hidden="1" x14ac:dyDescent="0.25">
      <c r="A286" s="4">
        <f t="shared" si="121"/>
        <v>92132</v>
      </c>
      <c r="B286" s="6">
        <f t="shared" si="120"/>
        <v>0</v>
      </c>
      <c r="C286" s="153"/>
      <c r="E286" s="9">
        <f t="shared" ca="1" si="122"/>
        <v>0</v>
      </c>
      <c r="F286" s="89">
        <f t="shared" ca="1" si="123"/>
        <v>0</v>
      </c>
      <c r="G286" s="9">
        <f t="shared" ca="1" si="124"/>
        <v>0</v>
      </c>
      <c r="H286" s="89">
        <f t="shared" ca="1" si="125"/>
        <v>0</v>
      </c>
      <c r="I286" s="9">
        <f t="shared" ca="1" si="126"/>
        <v>0</v>
      </c>
      <c r="J286" s="89">
        <f t="shared" ca="1" si="127"/>
        <v>0</v>
      </c>
      <c r="K286" s="9">
        <f t="shared" ca="1" si="128"/>
        <v>0</v>
      </c>
      <c r="L286" s="89">
        <f t="shared" ca="1" si="129"/>
        <v>0</v>
      </c>
      <c r="N286" s="9">
        <f t="shared" ca="1" si="130"/>
        <v>0</v>
      </c>
      <c r="O286" s="89">
        <f t="shared" ca="1" si="131"/>
        <v>0</v>
      </c>
      <c r="P286" s="9">
        <f t="shared" ca="1" si="132"/>
        <v>0</v>
      </c>
      <c r="Q286" s="89">
        <f t="shared" ca="1" si="133"/>
        <v>0</v>
      </c>
      <c r="R286" s="9">
        <f t="shared" ca="1" si="134"/>
        <v>0</v>
      </c>
      <c r="S286" s="89">
        <f t="shared" ca="1" si="135"/>
        <v>0</v>
      </c>
      <c r="T286" s="9">
        <f t="shared" ca="1" si="134"/>
        <v>0</v>
      </c>
      <c r="U286" s="89">
        <f t="shared" ca="1" si="119"/>
        <v>0</v>
      </c>
    </row>
    <row r="287" spans="1:21" s="4" customFormat="1" hidden="1" x14ac:dyDescent="0.25">
      <c r="A287" s="58">
        <f t="shared" si="121"/>
        <v>92133</v>
      </c>
      <c r="B287" s="6">
        <f t="shared" si="120"/>
        <v>0</v>
      </c>
      <c r="C287" s="153"/>
      <c r="E287" s="9">
        <f t="shared" ca="1" si="122"/>
        <v>0</v>
      </c>
      <c r="F287" s="89">
        <f t="shared" ca="1" si="123"/>
        <v>0</v>
      </c>
      <c r="G287" s="9">
        <f t="shared" ca="1" si="124"/>
        <v>0</v>
      </c>
      <c r="H287" s="89">
        <f t="shared" ca="1" si="125"/>
        <v>0</v>
      </c>
      <c r="I287" s="9">
        <f t="shared" ca="1" si="126"/>
        <v>0</v>
      </c>
      <c r="J287" s="89">
        <f t="shared" ca="1" si="127"/>
        <v>0</v>
      </c>
      <c r="K287" s="9">
        <f t="shared" ca="1" si="128"/>
        <v>0</v>
      </c>
      <c r="L287" s="89">
        <f t="shared" ca="1" si="129"/>
        <v>0</v>
      </c>
      <c r="N287" s="9">
        <f t="shared" ca="1" si="130"/>
        <v>0</v>
      </c>
      <c r="O287" s="89">
        <f t="shared" ca="1" si="131"/>
        <v>0</v>
      </c>
      <c r="P287" s="9">
        <f t="shared" ca="1" si="132"/>
        <v>0</v>
      </c>
      <c r="Q287" s="89">
        <f t="shared" ca="1" si="133"/>
        <v>0</v>
      </c>
      <c r="R287" s="9">
        <f t="shared" ca="1" si="134"/>
        <v>0</v>
      </c>
      <c r="S287" s="89">
        <f t="shared" ca="1" si="135"/>
        <v>0</v>
      </c>
      <c r="T287" s="9">
        <f t="shared" ca="1" si="134"/>
        <v>0</v>
      </c>
      <c r="U287" s="89">
        <f t="shared" ca="1" si="119"/>
        <v>0</v>
      </c>
    </row>
    <row r="288" spans="1:21" s="4" customFormat="1" hidden="1" x14ac:dyDescent="0.25">
      <c r="A288" s="4">
        <f t="shared" si="121"/>
        <v>92134</v>
      </c>
      <c r="B288" s="6" t="str">
        <f t="shared" si="120"/>
        <v>S</v>
      </c>
      <c r="C288" s="153"/>
      <c r="E288" s="9">
        <f t="shared" ca="1" si="122"/>
        <v>0</v>
      </c>
      <c r="F288" s="89">
        <f t="shared" ca="1" si="123"/>
        <v>0</v>
      </c>
      <c r="G288" s="9">
        <f t="shared" ca="1" si="124"/>
        <v>0</v>
      </c>
      <c r="H288" s="89">
        <f t="shared" ca="1" si="125"/>
        <v>0</v>
      </c>
      <c r="I288" s="9">
        <f t="shared" ca="1" si="126"/>
        <v>0</v>
      </c>
      <c r="J288" s="89">
        <f t="shared" ca="1" si="127"/>
        <v>0</v>
      </c>
      <c r="K288" s="9">
        <f t="shared" ca="1" si="128"/>
        <v>0</v>
      </c>
      <c r="L288" s="89">
        <f t="shared" ca="1" si="129"/>
        <v>0</v>
      </c>
      <c r="N288" s="9">
        <f t="shared" ca="1" si="130"/>
        <v>0</v>
      </c>
      <c r="O288" s="89">
        <f t="shared" ca="1" si="131"/>
        <v>0</v>
      </c>
      <c r="P288" s="9">
        <f t="shared" ca="1" si="132"/>
        <v>0</v>
      </c>
      <c r="Q288" s="89">
        <f t="shared" ca="1" si="133"/>
        <v>0</v>
      </c>
      <c r="R288" s="9">
        <f t="shared" ca="1" si="134"/>
        <v>0</v>
      </c>
      <c r="S288" s="89">
        <f t="shared" ca="1" si="135"/>
        <v>0</v>
      </c>
      <c r="T288" s="9">
        <f t="shared" ca="1" si="134"/>
        <v>0</v>
      </c>
      <c r="U288" s="89">
        <f t="shared" ca="1" si="119"/>
        <v>0</v>
      </c>
    </row>
    <row r="289" spans="1:21" s="4" customFormat="1" hidden="1" x14ac:dyDescent="0.25">
      <c r="A289" s="4">
        <f t="shared" si="121"/>
        <v>92135</v>
      </c>
      <c r="B289" s="6">
        <f t="shared" si="120"/>
        <v>0</v>
      </c>
      <c r="C289" s="153"/>
      <c r="E289" s="9">
        <f t="shared" ca="1" si="122"/>
        <v>0</v>
      </c>
      <c r="F289" s="89">
        <f t="shared" ca="1" si="123"/>
        <v>0</v>
      </c>
      <c r="G289" s="9">
        <f t="shared" ca="1" si="124"/>
        <v>0</v>
      </c>
      <c r="H289" s="89">
        <f t="shared" ca="1" si="125"/>
        <v>0</v>
      </c>
      <c r="I289" s="9">
        <f t="shared" ca="1" si="126"/>
        <v>0</v>
      </c>
      <c r="J289" s="89">
        <f t="shared" ca="1" si="127"/>
        <v>0</v>
      </c>
      <c r="K289" s="9">
        <f t="shared" ca="1" si="128"/>
        <v>0</v>
      </c>
      <c r="L289" s="89">
        <f t="shared" ca="1" si="129"/>
        <v>0</v>
      </c>
      <c r="N289" s="9">
        <f t="shared" ca="1" si="130"/>
        <v>0</v>
      </c>
      <c r="O289" s="89">
        <f t="shared" ca="1" si="131"/>
        <v>0</v>
      </c>
      <c r="P289" s="9">
        <f t="shared" ca="1" si="132"/>
        <v>0</v>
      </c>
      <c r="Q289" s="89">
        <f t="shared" ca="1" si="133"/>
        <v>0</v>
      </c>
      <c r="R289" s="9">
        <f t="shared" ca="1" si="134"/>
        <v>0</v>
      </c>
      <c r="S289" s="89">
        <f t="shared" ca="1" si="135"/>
        <v>0</v>
      </c>
      <c r="T289" s="9">
        <f t="shared" ca="1" si="134"/>
        <v>0</v>
      </c>
      <c r="U289" s="89">
        <f t="shared" ca="1" si="119"/>
        <v>0</v>
      </c>
    </row>
    <row r="290" spans="1:21" s="4" customFormat="1" hidden="1" x14ac:dyDescent="0.25">
      <c r="A290" s="4">
        <f t="shared" si="121"/>
        <v>92136</v>
      </c>
      <c r="B290" s="6" t="str">
        <f t="shared" si="120"/>
        <v>S</v>
      </c>
      <c r="C290" s="153"/>
      <c r="E290" s="9">
        <f t="shared" ca="1" si="122"/>
        <v>0</v>
      </c>
      <c r="F290" s="89">
        <f t="shared" ca="1" si="123"/>
        <v>0</v>
      </c>
      <c r="G290" s="9">
        <f t="shared" ca="1" si="124"/>
        <v>0</v>
      </c>
      <c r="H290" s="89">
        <f t="shared" ca="1" si="125"/>
        <v>0</v>
      </c>
      <c r="I290" s="9">
        <f t="shared" ca="1" si="126"/>
        <v>0</v>
      </c>
      <c r="J290" s="89">
        <f t="shared" ca="1" si="127"/>
        <v>0</v>
      </c>
      <c r="K290" s="9">
        <f t="shared" ca="1" si="128"/>
        <v>1</v>
      </c>
      <c r="L290" s="89">
        <f t="shared" ca="1" si="129"/>
        <v>3666600</v>
      </c>
      <c r="N290" s="9">
        <f t="shared" ca="1" si="130"/>
        <v>0</v>
      </c>
      <c r="O290" s="89">
        <f t="shared" ca="1" si="131"/>
        <v>0</v>
      </c>
      <c r="P290" s="9">
        <f t="shared" ca="1" si="132"/>
        <v>0</v>
      </c>
      <c r="Q290" s="89">
        <f t="shared" ca="1" si="133"/>
        <v>0</v>
      </c>
      <c r="R290" s="9">
        <f t="shared" ca="1" si="134"/>
        <v>0</v>
      </c>
      <c r="S290" s="89">
        <f t="shared" ca="1" si="135"/>
        <v>0</v>
      </c>
      <c r="T290" s="9">
        <f t="shared" ca="1" si="134"/>
        <v>0</v>
      </c>
      <c r="U290" s="89">
        <f t="shared" ca="1" si="119"/>
        <v>0</v>
      </c>
    </row>
    <row r="291" spans="1:21" s="4" customFormat="1" hidden="1" x14ac:dyDescent="0.25">
      <c r="A291" s="4">
        <f t="shared" si="121"/>
        <v>92137</v>
      </c>
      <c r="B291" s="6">
        <f t="shared" si="120"/>
        <v>0</v>
      </c>
      <c r="C291" s="153"/>
      <c r="E291" s="9">
        <f t="shared" ca="1" si="122"/>
        <v>0</v>
      </c>
      <c r="F291" s="89">
        <f t="shared" ca="1" si="123"/>
        <v>0</v>
      </c>
      <c r="G291" s="9">
        <f t="shared" ca="1" si="124"/>
        <v>0</v>
      </c>
      <c r="H291" s="89">
        <f t="shared" ca="1" si="125"/>
        <v>0</v>
      </c>
      <c r="I291" s="9">
        <f t="shared" ca="1" si="126"/>
        <v>0</v>
      </c>
      <c r="J291" s="89">
        <f t="shared" ca="1" si="127"/>
        <v>0</v>
      </c>
      <c r="K291" s="9">
        <f t="shared" ca="1" si="128"/>
        <v>0</v>
      </c>
      <c r="L291" s="89">
        <f t="shared" ca="1" si="129"/>
        <v>0</v>
      </c>
      <c r="N291" s="9">
        <f t="shared" ca="1" si="130"/>
        <v>0</v>
      </c>
      <c r="O291" s="89">
        <f t="shared" ca="1" si="131"/>
        <v>0</v>
      </c>
      <c r="P291" s="9">
        <f t="shared" ca="1" si="132"/>
        <v>0</v>
      </c>
      <c r="Q291" s="89">
        <f t="shared" ca="1" si="133"/>
        <v>0</v>
      </c>
      <c r="R291" s="9">
        <f t="shared" ca="1" si="134"/>
        <v>0</v>
      </c>
      <c r="S291" s="89">
        <f t="shared" ca="1" si="135"/>
        <v>0</v>
      </c>
      <c r="T291" s="9">
        <f t="shared" ca="1" si="134"/>
        <v>0</v>
      </c>
      <c r="U291" s="89">
        <f t="shared" ca="1" si="119"/>
        <v>0</v>
      </c>
    </row>
    <row r="292" spans="1:21" s="4" customFormat="1" hidden="1" x14ac:dyDescent="0.25">
      <c r="A292" s="4">
        <f t="shared" si="121"/>
        <v>92138</v>
      </c>
      <c r="B292" s="6">
        <f t="shared" si="120"/>
        <v>0</v>
      </c>
      <c r="C292" s="153"/>
      <c r="E292" s="9">
        <f t="shared" ca="1" si="122"/>
        <v>0</v>
      </c>
      <c r="F292" s="89">
        <f t="shared" ca="1" si="123"/>
        <v>0</v>
      </c>
      <c r="G292" s="9">
        <f t="shared" ca="1" si="124"/>
        <v>0</v>
      </c>
      <c r="H292" s="89">
        <f t="shared" ca="1" si="125"/>
        <v>0</v>
      </c>
      <c r="I292" s="9">
        <f t="shared" ca="1" si="126"/>
        <v>0</v>
      </c>
      <c r="J292" s="89">
        <f t="shared" ca="1" si="127"/>
        <v>0</v>
      </c>
      <c r="K292" s="9">
        <f t="shared" ca="1" si="128"/>
        <v>0</v>
      </c>
      <c r="L292" s="89">
        <f t="shared" ca="1" si="129"/>
        <v>0</v>
      </c>
      <c r="N292" s="9">
        <f t="shared" ca="1" si="130"/>
        <v>0</v>
      </c>
      <c r="O292" s="89">
        <f t="shared" ca="1" si="131"/>
        <v>0</v>
      </c>
      <c r="P292" s="9">
        <f t="shared" ca="1" si="132"/>
        <v>0</v>
      </c>
      <c r="Q292" s="89">
        <f t="shared" ca="1" si="133"/>
        <v>0</v>
      </c>
      <c r="R292" s="9">
        <f t="shared" ca="1" si="134"/>
        <v>0</v>
      </c>
      <c r="S292" s="89">
        <f t="shared" ca="1" si="135"/>
        <v>0</v>
      </c>
      <c r="T292" s="9">
        <f t="shared" ca="1" si="134"/>
        <v>0</v>
      </c>
      <c r="U292" s="89">
        <f t="shared" ca="1" si="119"/>
        <v>0</v>
      </c>
    </row>
    <row r="293" spans="1:21" s="4" customFormat="1" hidden="1" x14ac:dyDescent="0.25">
      <c r="A293" s="4">
        <f t="shared" si="121"/>
        <v>92139</v>
      </c>
      <c r="B293" s="6">
        <f t="shared" si="120"/>
        <v>0</v>
      </c>
      <c r="C293" s="153"/>
      <c r="E293" s="9">
        <f t="shared" ca="1" si="122"/>
        <v>0</v>
      </c>
      <c r="F293" s="89">
        <f t="shared" ca="1" si="123"/>
        <v>0</v>
      </c>
      <c r="G293" s="9">
        <f t="shared" ca="1" si="124"/>
        <v>0</v>
      </c>
      <c r="H293" s="89">
        <f t="shared" ca="1" si="125"/>
        <v>0</v>
      </c>
      <c r="I293" s="9">
        <f t="shared" ca="1" si="126"/>
        <v>0</v>
      </c>
      <c r="J293" s="89">
        <f t="shared" ca="1" si="127"/>
        <v>0</v>
      </c>
      <c r="K293" s="9">
        <f t="shared" ca="1" si="128"/>
        <v>0</v>
      </c>
      <c r="L293" s="89">
        <f t="shared" ca="1" si="129"/>
        <v>0</v>
      </c>
      <c r="N293" s="9">
        <f t="shared" ca="1" si="130"/>
        <v>0</v>
      </c>
      <c r="O293" s="89">
        <f t="shared" ca="1" si="131"/>
        <v>0</v>
      </c>
      <c r="P293" s="9">
        <f t="shared" ca="1" si="132"/>
        <v>0</v>
      </c>
      <c r="Q293" s="89">
        <f t="shared" ca="1" si="133"/>
        <v>0</v>
      </c>
      <c r="R293" s="9">
        <f t="shared" ca="1" si="134"/>
        <v>0</v>
      </c>
      <c r="S293" s="89">
        <f t="shared" ca="1" si="135"/>
        <v>0</v>
      </c>
      <c r="T293" s="9">
        <f t="shared" ca="1" si="134"/>
        <v>0</v>
      </c>
      <c r="U293" s="89">
        <f t="shared" ca="1" si="119"/>
        <v>0</v>
      </c>
    </row>
    <row r="294" spans="1:21" s="4" customFormat="1" hidden="1" x14ac:dyDescent="0.25">
      <c r="A294" s="4">
        <f t="shared" si="121"/>
        <v>92140</v>
      </c>
      <c r="B294" s="6" t="str">
        <f t="shared" si="120"/>
        <v>S</v>
      </c>
      <c r="C294" s="153"/>
      <c r="E294" s="9">
        <f t="shared" ca="1" si="122"/>
        <v>0</v>
      </c>
      <c r="F294" s="89">
        <f t="shared" ca="1" si="123"/>
        <v>0</v>
      </c>
      <c r="G294" s="9">
        <f t="shared" ca="1" si="124"/>
        <v>0</v>
      </c>
      <c r="H294" s="89">
        <f t="shared" ca="1" si="125"/>
        <v>0</v>
      </c>
      <c r="I294" s="9">
        <f t="shared" ca="1" si="126"/>
        <v>0</v>
      </c>
      <c r="J294" s="89">
        <f t="shared" ca="1" si="127"/>
        <v>0</v>
      </c>
      <c r="K294" s="9">
        <f t="shared" ca="1" si="128"/>
        <v>0</v>
      </c>
      <c r="L294" s="89">
        <f t="shared" ca="1" si="129"/>
        <v>0</v>
      </c>
      <c r="N294" s="9">
        <f t="shared" ca="1" si="130"/>
        <v>0</v>
      </c>
      <c r="O294" s="89">
        <f t="shared" ca="1" si="131"/>
        <v>0</v>
      </c>
      <c r="P294" s="9">
        <f t="shared" ca="1" si="132"/>
        <v>0</v>
      </c>
      <c r="Q294" s="89">
        <f t="shared" ca="1" si="133"/>
        <v>0</v>
      </c>
      <c r="R294" s="9">
        <f t="shared" ca="1" si="134"/>
        <v>0</v>
      </c>
      <c r="S294" s="89">
        <f t="shared" ca="1" si="135"/>
        <v>0</v>
      </c>
      <c r="T294" s="9">
        <f t="shared" ca="1" si="134"/>
        <v>0</v>
      </c>
      <c r="U294" s="89">
        <f t="shared" ca="1" si="119"/>
        <v>0</v>
      </c>
    </row>
    <row r="295" spans="1:21" s="4" customFormat="1" hidden="1" x14ac:dyDescent="0.25">
      <c r="A295" s="58">
        <f t="shared" si="121"/>
        <v>92141</v>
      </c>
      <c r="B295" s="6">
        <f t="shared" si="120"/>
        <v>0</v>
      </c>
      <c r="C295" s="153"/>
      <c r="E295" s="9">
        <f t="shared" ca="1" si="122"/>
        <v>0</v>
      </c>
      <c r="F295" s="89">
        <f t="shared" ca="1" si="123"/>
        <v>0</v>
      </c>
      <c r="G295" s="9">
        <f t="shared" ca="1" si="124"/>
        <v>0</v>
      </c>
      <c r="H295" s="89">
        <f t="shared" ca="1" si="125"/>
        <v>0</v>
      </c>
      <c r="I295" s="9">
        <f t="shared" ca="1" si="126"/>
        <v>0</v>
      </c>
      <c r="J295" s="89">
        <f t="shared" ca="1" si="127"/>
        <v>0</v>
      </c>
      <c r="K295" s="9">
        <f t="shared" ca="1" si="128"/>
        <v>0</v>
      </c>
      <c r="L295" s="89">
        <f t="shared" ca="1" si="129"/>
        <v>0</v>
      </c>
      <c r="N295" s="9">
        <f t="shared" ca="1" si="130"/>
        <v>0</v>
      </c>
      <c r="O295" s="89">
        <f t="shared" ca="1" si="131"/>
        <v>0</v>
      </c>
      <c r="P295" s="9">
        <f t="shared" ca="1" si="132"/>
        <v>0</v>
      </c>
      <c r="Q295" s="89">
        <f t="shared" ca="1" si="133"/>
        <v>0</v>
      </c>
      <c r="R295" s="9">
        <f t="shared" ca="1" si="134"/>
        <v>0</v>
      </c>
      <c r="S295" s="89">
        <f t="shared" ca="1" si="135"/>
        <v>0</v>
      </c>
      <c r="T295" s="9">
        <f t="shared" ca="1" si="134"/>
        <v>0</v>
      </c>
      <c r="U295" s="89">
        <f t="shared" ca="1" si="119"/>
        <v>0</v>
      </c>
    </row>
    <row r="296" spans="1:21" s="4" customFormat="1" hidden="1" x14ac:dyDescent="0.25">
      <c r="A296" s="4">
        <f t="shared" si="121"/>
        <v>92142</v>
      </c>
      <c r="B296" s="6">
        <f t="shared" si="120"/>
        <v>0</v>
      </c>
      <c r="C296" s="153"/>
      <c r="E296" s="9">
        <f t="shared" ca="1" si="122"/>
        <v>0</v>
      </c>
      <c r="F296" s="89">
        <f t="shared" ca="1" si="123"/>
        <v>0</v>
      </c>
      <c r="G296" s="9">
        <f t="shared" ca="1" si="124"/>
        <v>0</v>
      </c>
      <c r="H296" s="89">
        <f t="shared" ca="1" si="125"/>
        <v>0</v>
      </c>
      <c r="I296" s="9">
        <f t="shared" ca="1" si="126"/>
        <v>0</v>
      </c>
      <c r="J296" s="89">
        <f t="shared" ca="1" si="127"/>
        <v>0</v>
      </c>
      <c r="K296" s="9">
        <f t="shared" ca="1" si="128"/>
        <v>0</v>
      </c>
      <c r="L296" s="89">
        <f t="shared" ca="1" si="129"/>
        <v>0</v>
      </c>
      <c r="N296" s="9">
        <f t="shared" ca="1" si="130"/>
        <v>0</v>
      </c>
      <c r="O296" s="89">
        <f t="shared" ca="1" si="131"/>
        <v>0</v>
      </c>
      <c r="P296" s="9">
        <f t="shared" ca="1" si="132"/>
        <v>0</v>
      </c>
      <c r="Q296" s="89">
        <f t="shared" ca="1" si="133"/>
        <v>0</v>
      </c>
      <c r="R296" s="9">
        <f t="shared" ca="1" si="134"/>
        <v>0</v>
      </c>
      <c r="S296" s="89">
        <f t="shared" ca="1" si="135"/>
        <v>0</v>
      </c>
      <c r="T296" s="9">
        <f t="shared" ca="1" si="134"/>
        <v>0</v>
      </c>
      <c r="U296" s="89">
        <f t="shared" ca="1" si="119"/>
        <v>0</v>
      </c>
    </row>
    <row r="297" spans="1:21" s="4" customFormat="1" hidden="1" x14ac:dyDescent="0.25">
      <c r="A297" s="4">
        <f t="shared" si="121"/>
        <v>92143</v>
      </c>
      <c r="B297" s="6">
        <f t="shared" si="120"/>
        <v>0</v>
      </c>
      <c r="C297" s="153"/>
      <c r="E297" s="9">
        <f t="shared" ca="1" si="122"/>
        <v>0</v>
      </c>
      <c r="F297" s="89">
        <f t="shared" ca="1" si="123"/>
        <v>0</v>
      </c>
      <c r="G297" s="9">
        <f t="shared" ca="1" si="124"/>
        <v>0</v>
      </c>
      <c r="H297" s="89">
        <f t="shared" ca="1" si="125"/>
        <v>0</v>
      </c>
      <c r="I297" s="9">
        <f t="shared" ca="1" si="126"/>
        <v>0</v>
      </c>
      <c r="J297" s="89">
        <f t="shared" ca="1" si="127"/>
        <v>0</v>
      </c>
      <c r="K297" s="9">
        <f t="shared" ca="1" si="128"/>
        <v>0</v>
      </c>
      <c r="L297" s="89">
        <f t="shared" ca="1" si="129"/>
        <v>0</v>
      </c>
      <c r="N297" s="9">
        <f t="shared" ca="1" si="130"/>
        <v>0</v>
      </c>
      <c r="O297" s="89">
        <f t="shared" ca="1" si="131"/>
        <v>0</v>
      </c>
      <c r="P297" s="9">
        <f t="shared" ca="1" si="132"/>
        <v>0</v>
      </c>
      <c r="Q297" s="89">
        <f t="shared" ca="1" si="133"/>
        <v>0</v>
      </c>
      <c r="R297" s="9">
        <f t="shared" ca="1" si="134"/>
        <v>0</v>
      </c>
      <c r="S297" s="89">
        <f t="shared" ca="1" si="135"/>
        <v>0</v>
      </c>
      <c r="T297" s="9">
        <f t="shared" ca="1" si="134"/>
        <v>0</v>
      </c>
      <c r="U297" s="89">
        <f t="shared" ca="1" si="119"/>
        <v>0</v>
      </c>
    </row>
    <row r="298" spans="1:21" s="4" customFormat="1" hidden="1" x14ac:dyDescent="0.25">
      <c r="A298" s="58">
        <f t="shared" si="121"/>
        <v>92144</v>
      </c>
      <c r="B298" s="6">
        <f t="shared" si="120"/>
        <v>0</v>
      </c>
      <c r="C298" s="153"/>
      <c r="E298" s="9">
        <f t="shared" ca="1" si="122"/>
        <v>0</v>
      </c>
      <c r="F298" s="89">
        <f t="shared" ca="1" si="123"/>
        <v>0</v>
      </c>
      <c r="G298" s="9">
        <f t="shared" ca="1" si="124"/>
        <v>0</v>
      </c>
      <c r="H298" s="89">
        <f t="shared" ca="1" si="125"/>
        <v>0</v>
      </c>
      <c r="I298" s="9">
        <f t="shared" ca="1" si="126"/>
        <v>0</v>
      </c>
      <c r="J298" s="89">
        <f t="shared" ca="1" si="127"/>
        <v>0</v>
      </c>
      <c r="K298" s="9">
        <f t="shared" ca="1" si="128"/>
        <v>0</v>
      </c>
      <c r="L298" s="89">
        <f t="shared" ca="1" si="129"/>
        <v>0</v>
      </c>
      <c r="N298" s="9">
        <f t="shared" ca="1" si="130"/>
        <v>0</v>
      </c>
      <c r="O298" s="89">
        <f t="shared" ca="1" si="131"/>
        <v>0</v>
      </c>
      <c r="P298" s="9">
        <f t="shared" ca="1" si="132"/>
        <v>0</v>
      </c>
      <c r="Q298" s="89">
        <f t="shared" ca="1" si="133"/>
        <v>0</v>
      </c>
      <c r="R298" s="9">
        <f t="shared" ca="1" si="134"/>
        <v>0</v>
      </c>
      <c r="S298" s="89">
        <f t="shared" ca="1" si="135"/>
        <v>0</v>
      </c>
      <c r="T298" s="9">
        <f t="shared" ca="1" si="134"/>
        <v>0</v>
      </c>
      <c r="U298" s="89">
        <f t="shared" ca="1" si="119"/>
        <v>0</v>
      </c>
    </row>
    <row r="299" spans="1:21" s="4" customFormat="1" x14ac:dyDescent="0.25">
      <c r="A299" s="4">
        <f t="shared" si="121"/>
        <v>92145</v>
      </c>
      <c r="B299" s="6" t="str">
        <f t="shared" si="120"/>
        <v>N</v>
      </c>
      <c r="C299" s="153"/>
      <c r="E299" s="9">
        <f t="shared" ca="1" si="122"/>
        <v>0</v>
      </c>
      <c r="F299" s="89">
        <f t="shared" ca="1" si="123"/>
        <v>0</v>
      </c>
      <c r="G299" s="9">
        <f t="shared" ca="1" si="124"/>
        <v>1</v>
      </c>
      <c r="H299" s="89">
        <f t="shared" ca="1" si="125"/>
        <v>48236200</v>
      </c>
      <c r="I299" s="9">
        <f t="shared" ca="1" si="126"/>
        <v>0</v>
      </c>
      <c r="J299" s="89">
        <f t="shared" ca="1" si="127"/>
        <v>0</v>
      </c>
      <c r="K299" s="9">
        <f t="shared" ca="1" si="128"/>
        <v>0</v>
      </c>
      <c r="L299" s="89">
        <f t="shared" ca="1" si="129"/>
        <v>0</v>
      </c>
      <c r="N299" s="9">
        <f t="shared" ca="1" si="130"/>
        <v>0</v>
      </c>
      <c r="O299" s="89">
        <f t="shared" ca="1" si="131"/>
        <v>0</v>
      </c>
      <c r="P299" s="9">
        <f t="shared" ca="1" si="132"/>
        <v>0</v>
      </c>
      <c r="Q299" s="89">
        <f t="shared" ca="1" si="133"/>
        <v>0</v>
      </c>
      <c r="R299" s="9">
        <f t="shared" ca="1" si="134"/>
        <v>0</v>
      </c>
      <c r="S299" s="89">
        <f t="shared" ca="1" si="135"/>
        <v>0</v>
      </c>
      <c r="T299" s="9">
        <f t="shared" ca="1" si="134"/>
        <v>0</v>
      </c>
      <c r="U299" s="89">
        <f t="shared" ca="1" si="119"/>
        <v>0</v>
      </c>
    </row>
    <row r="300" spans="1:21" s="4" customFormat="1" hidden="1" x14ac:dyDescent="0.25">
      <c r="A300" s="58">
        <f t="shared" si="121"/>
        <v>92146</v>
      </c>
      <c r="B300" s="6">
        <f t="shared" si="120"/>
        <v>0</v>
      </c>
      <c r="C300" s="153"/>
      <c r="E300" s="9">
        <f t="shared" ca="1" si="122"/>
        <v>0</v>
      </c>
      <c r="F300" s="89">
        <f t="shared" ca="1" si="123"/>
        <v>0</v>
      </c>
      <c r="G300" s="9">
        <f t="shared" ca="1" si="124"/>
        <v>0</v>
      </c>
      <c r="H300" s="89">
        <f t="shared" ca="1" si="125"/>
        <v>0</v>
      </c>
      <c r="I300" s="9">
        <f t="shared" ca="1" si="126"/>
        <v>0</v>
      </c>
      <c r="J300" s="89">
        <f t="shared" ca="1" si="127"/>
        <v>0</v>
      </c>
      <c r="K300" s="9">
        <f t="shared" ca="1" si="128"/>
        <v>0</v>
      </c>
      <c r="L300" s="89">
        <f t="shared" ca="1" si="129"/>
        <v>0</v>
      </c>
      <c r="N300" s="9">
        <f t="shared" ca="1" si="130"/>
        <v>0</v>
      </c>
      <c r="O300" s="89">
        <f t="shared" ca="1" si="131"/>
        <v>0</v>
      </c>
      <c r="P300" s="9">
        <f t="shared" ca="1" si="132"/>
        <v>0</v>
      </c>
      <c r="Q300" s="89">
        <f t="shared" ca="1" si="133"/>
        <v>0</v>
      </c>
      <c r="R300" s="9">
        <f t="shared" ca="1" si="134"/>
        <v>0</v>
      </c>
      <c r="S300" s="89">
        <f t="shared" ca="1" si="135"/>
        <v>0</v>
      </c>
      <c r="T300" s="9">
        <f t="shared" ca="1" si="134"/>
        <v>0</v>
      </c>
      <c r="U300" s="89">
        <f t="shared" ca="1" si="119"/>
        <v>0</v>
      </c>
    </row>
    <row r="301" spans="1:21" s="4" customFormat="1" hidden="1" x14ac:dyDescent="0.25">
      <c r="A301" s="4">
        <f t="shared" si="121"/>
        <v>92147</v>
      </c>
      <c r="B301" s="6">
        <f t="shared" si="120"/>
        <v>0</v>
      </c>
      <c r="C301" s="153"/>
      <c r="E301" s="9">
        <f t="shared" ca="1" si="122"/>
        <v>0</v>
      </c>
      <c r="F301" s="89">
        <f t="shared" ca="1" si="123"/>
        <v>0</v>
      </c>
      <c r="G301" s="9">
        <f t="shared" ca="1" si="124"/>
        <v>0</v>
      </c>
      <c r="H301" s="89">
        <f t="shared" ca="1" si="125"/>
        <v>0</v>
      </c>
      <c r="I301" s="9">
        <f t="shared" ca="1" si="126"/>
        <v>0</v>
      </c>
      <c r="J301" s="89">
        <f t="shared" ca="1" si="127"/>
        <v>0</v>
      </c>
      <c r="K301" s="9">
        <f t="shared" ca="1" si="128"/>
        <v>0</v>
      </c>
      <c r="L301" s="89">
        <f t="shared" ca="1" si="129"/>
        <v>0</v>
      </c>
      <c r="N301" s="9">
        <f t="shared" ca="1" si="130"/>
        <v>0</v>
      </c>
      <c r="O301" s="89">
        <f t="shared" ca="1" si="131"/>
        <v>0</v>
      </c>
      <c r="P301" s="9">
        <f t="shared" ca="1" si="132"/>
        <v>0</v>
      </c>
      <c r="Q301" s="89">
        <f t="shared" ca="1" si="133"/>
        <v>0</v>
      </c>
      <c r="R301" s="9">
        <f t="shared" ca="1" si="134"/>
        <v>0</v>
      </c>
      <c r="S301" s="89">
        <f t="shared" ca="1" si="135"/>
        <v>0</v>
      </c>
      <c r="T301" s="9">
        <f t="shared" ca="1" si="134"/>
        <v>0</v>
      </c>
      <c r="U301" s="89">
        <f t="shared" ca="1" si="119"/>
        <v>0</v>
      </c>
    </row>
    <row r="302" spans="1:21" s="4" customFormat="1" hidden="1" x14ac:dyDescent="0.25">
      <c r="A302" s="4">
        <f t="shared" si="121"/>
        <v>92148</v>
      </c>
      <c r="B302" s="6">
        <f t="shared" si="120"/>
        <v>0</v>
      </c>
      <c r="C302" s="153"/>
      <c r="E302" s="9">
        <f t="shared" ca="1" si="122"/>
        <v>0</v>
      </c>
      <c r="F302" s="89">
        <f t="shared" ca="1" si="123"/>
        <v>0</v>
      </c>
      <c r="G302" s="9">
        <f t="shared" ca="1" si="124"/>
        <v>0</v>
      </c>
      <c r="H302" s="89">
        <f t="shared" ca="1" si="125"/>
        <v>0</v>
      </c>
      <c r="I302" s="9">
        <f t="shared" ca="1" si="126"/>
        <v>0</v>
      </c>
      <c r="J302" s="89">
        <f t="shared" ca="1" si="127"/>
        <v>0</v>
      </c>
      <c r="K302" s="9">
        <f t="shared" ca="1" si="128"/>
        <v>0</v>
      </c>
      <c r="L302" s="89">
        <f t="shared" ca="1" si="129"/>
        <v>0</v>
      </c>
      <c r="N302" s="9">
        <f t="shared" ca="1" si="130"/>
        <v>0</v>
      </c>
      <c r="O302" s="89">
        <f t="shared" ca="1" si="131"/>
        <v>0</v>
      </c>
      <c r="P302" s="9">
        <f t="shared" ca="1" si="132"/>
        <v>0</v>
      </c>
      <c r="Q302" s="89">
        <f t="shared" ca="1" si="133"/>
        <v>0</v>
      </c>
      <c r="R302" s="9">
        <f t="shared" ca="1" si="134"/>
        <v>0</v>
      </c>
      <c r="S302" s="89">
        <f t="shared" ca="1" si="135"/>
        <v>0</v>
      </c>
      <c r="T302" s="9">
        <f t="shared" ca="1" si="134"/>
        <v>0</v>
      </c>
      <c r="U302" s="89">
        <f t="shared" ca="1" si="119"/>
        <v>0</v>
      </c>
    </row>
    <row r="303" spans="1:21" s="4" customFormat="1" hidden="1" x14ac:dyDescent="0.25">
      <c r="A303" s="4">
        <f t="shared" si="121"/>
        <v>92149</v>
      </c>
      <c r="B303" s="6">
        <f t="shared" si="120"/>
        <v>0</v>
      </c>
      <c r="C303" s="153"/>
      <c r="E303" s="9">
        <f t="shared" ca="1" si="122"/>
        <v>0</v>
      </c>
      <c r="F303" s="89">
        <f t="shared" ca="1" si="123"/>
        <v>0</v>
      </c>
      <c r="G303" s="9">
        <f t="shared" ca="1" si="124"/>
        <v>0</v>
      </c>
      <c r="H303" s="89">
        <f t="shared" ca="1" si="125"/>
        <v>0</v>
      </c>
      <c r="I303" s="9">
        <f t="shared" ca="1" si="126"/>
        <v>0</v>
      </c>
      <c r="J303" s="89">
        <f t="shared" ca="1" si="127"/>
        <v>0</v>
      </c>
      <c r="K303" s="9">
        <f t="shared" ca="1" si="128"/>
        <v>0</v>
      </c>
      <c r="L303" s="89">
        <f t="shared" ca="1" si="129"/>
        <v>0</v>
      </c>
      <c r="N303" s="9">
        <f t="shared" ca="1" si="130"/>
        <v>0</v>
      </c>
      <c r="O303" s="89">
        <f t="shared" ca="1" si="131"/>
        <v>0</v>
      </c>
      <c r="P303" s="9">
        <f t="shared" ca="1" si="132"/>
        <v>0</v>
      </c>
      <c r="Q303" s="89">
        <f t="shared" ca="1" si="133"/>
        <v>0</v>
      </c>
      <c r="R303" s="9">
        <f t="shared" ca="1" si="134"/>
        <v>0</v>
      </c>
      <c r="S303" s="89">
        <f t="shared" ca="1" si="135"/>
        <v>0</v>
      </c>
      <c r="T303" s="9">
        <f t="shared" ca="1" si="134"/>
        <v>0</v>
      </c>
      <c r="U303" s="89">
        <f t="shared" ca="1" si="119"/>
        <v>0</v>
      </c>
    </row>
    <row r="304" spans="1:21" s="4" customFormat="1" hidden="1" x14ac:dyDescent="0.25">
      <c r="A304" s="4">
        <f t="shared" si="121"/>
        <v>92150</v>
      </c>
      <c r="B304" s="6">
        <f t="shared" si="120"/>
        <v>0</v>
      </c>
      <c r="C304" s="153"/>
      <c r="E304" s="9">
        <f t="shared" ca="1" si="122"/>
        <v>0</v>
      </c>
      <c r="F304" s="89">
        <f t="shared" ca="1" si="123"/>
        <v>0</v>
      </c>
      <c r="G304" s="9">
        <f t="shared" ca="1" si="124"/>
        <v>0</v>
      </c>
      <c r="H304" s="89">
        <f t="shared" ca="1" si="125"/>
        <v>0</v>
      </c>
      <c r="I304" s="9">
        <f t="shared" ca="1" si="126"/>
        <v>0</v>
      </c>
      <c r="J304" s="89">
        <f t="shared" ca="1" si="127"/>
        <v>0</v>
      </c>
      <c r="K304" s="9">
        <f t="shared" ca="1" si="128"/>
        <v>0</v>
      </c>
      <c r="L304" s="89">
        <f t="shared" ca="1" si="129"/>
        <v>0</v>
      </c>
      <c r="N304" s="9">
        <f t="shared" ca="1" si="130"/>
        <v>0</v>
      </c>
      <c r="O304" s="89">
        <f t="shared" ca="1" si="131"/>
        <v>0</v>
      </c>
      <c r="P304" s="9">
        <f t="shared" ca="1" si="132"/>
        <v>0</v>
      </c>
      <c r="Q304" s="89">
        <f t="shared" ca="1" si="133"/>
        <v>0</v>
      </c>
      <c r="R304" s="9">
        <f t="shared" ca="1" si="134"/>
        <v>0</v>
      </c>
      <c r="S304" s="89">
        <f t="shared" ca="1" si="135"/>
        <v>0</v>
      </c>
      <c r="T304" s="9">
        <f t="shared" ca="1" si="134"/>
        <v>0</v>
      </c>
      <c r="U304" s="89">
        <f t="shared" ca="1" si="119"/>
        <v>0</v>
      </c>
    </row>
    <row r="305" spans="1:21" s="4" customFormat="1" hidden="1" x14ac:dyDescent="0.25">
      <c r="A305" s="4">
        <f t="shared" si="121"/>
        <v>92151</v>
      </c>
      <c r="B305" s="6">
        <f t="shared" si="120"/>
        <v>0</v>
      </c>
      <c r="C305" s="153"/>
      <c r="E305" s="9">
        <f t="shared" ca="1" si="122"/>
        <v>0</v>
      </c>
      <c r="F305" s="89">
        <f t="shared" ca="1" si="123"/>
        <v>0</v>
      </c>
      <c r="G305" s="9">
        <f t="shared" ca="1" si="124"/>
        <v>0</v>
      </c>
      <c r="H305" s="89">
        <f t="shared" ca="1" si="125"/>
        <v>0</v>
      </c>
      <c r="I305" s="9">
        <f t="shared" ca="1" si="126"/>
        <v>0</v>
      </c>
      <c r="J305" s="89">
        <f t="shared" ca="1" si="127"/>
        <v>0</v>
      </c>
      <c r="K305" s="9">
        <f t="shared" ca="1" si="128"/>
        <v>0</v>
      </c>
      <c r="L305" s="89">
        <f t="shared" ca="1" si="129"/>
        <v>0</v>
      </c>
      <c r="N305" s="9">
        <f t="shared" ca="1" si="130"/>
        <v>0</v>
      </c>
      <c r="O305" s="89">
        <f t="shared" ca="1" si="131"/>
        <v>0</v>
      </c>
      <c r="P305" s="9">
        <f t="shared" ca="1" si="132"/>
        <v>0</v>
      </c>
      <c r="Q305" s="89">
        <f t="shared" ca="1" si="133"/>
        <v>0</v>
      </c>
      <c r="R305" s="9">
        <f t="shared" ca="1" si="134"/>
        <v>0</v>
      </c>
      <c r="S305" s="89">
        <f t="shared" ca="1" si="135"/>
        <v>0</v>
      </c>
      <c r="T305" s="9">
        <f t="shared" ca="1" si="134"/>
        <v>0</v>
      </c>
      <c r="U305" s="89">
        <f t="shared" ca="1" si="119"/>
        <v>0</v>
      </c>
    </row>
    <row r="306" spans="1:21" s="4" customFormat="1" hidden="1" x14ac:dyDescent="0.25">
      <c r="A306" s="4">
        <f t="shared" si="121"/>
        <v>92152</v>
      </c>
      <c r="B306" s="6">
        <f t="shared" si="120"/>
        <v>0</v>
      </c>
      <c r="C306" s="153"/>
      <c r="E306" s="9">
        <f t="shared" ca="1" si="122"/>
        <v>0</v>
      </c>
      <c r="F306" s="89">
        <f t="shared" ca="1" si="123"/>
        <v>0</v>
      </c>
      <c r="G306" s="9">
        <f t="shared" ca="1" si="124"/>
        <v>0</v>
      </c>
      <c r="H306" s="89">
        <f t="shared" ca="1" si="125"/>
        <v>0</v>
      </c>
      <c r="I306" s="9">
        <f t="shared" ca="1" si="126"/>
        <v>0</v>
      </c>
      <c r="J306" s="89">
        <f t="shared" ca="1" si="127"/>
        <v>0</v>
      </c>
      <c r="K306" s="9">
        <f t="shared" ca="1" si="128"/>
        <v>0</v>
      </c>
      <c r="L306" s="89">
        <f t="shared" ca="1" si="129"/>
        <v>0</v>
      </c>
      <c r="N306" s="9">
        <f t="shared" ca="1" si="130"/>
        <v>0</v>
      </c>
      <c r="O306" s="89">
        <f t="shared" ca="1" si="131"/>
        <v>0</v>
      </c>
      <c r="P306" s="9">
        <f t="shared" ca="1" si="132"/>
        <v>0</v>
      </c>
      <c r="Q306" s="89">
        <f t="shared" ca="1" si="133"/>
        <v>0</v>
      </c>
      <c r="R306" s="9">
        <f t="shared" ca="1" si="134"/>
        <v>0</v>
      </c>
      <c r="S306" s="89">
        <f t="shared" ca="1" si="135"/>
        <v>0</v>
      </c>
      <c r="T306" s="9">
        <f t="shared" ca="1" si="134"/>
        <v>0</v>
      </c>
      <c r="U306" s="89">
        <f t="shared" ca="1" si="119"/>
        <v>0</v>
      </c>
    </row>
    <row r="307" spans="1:21" s="4" customFormat="1" hidden="1" x14ac:dyDescent="0.25">
      <c r="A307" s="4">
        <f t="shared" si="121"/>
        <v>92153</v>
      </c>
      <c r="B307" s="6">
        <f t="shared" si="120"/>
        <v>0</v>
      </c>
      <c r="C307" s="153"/>
      <c r="E307" s="9">
        <f t="shared" ca="1" si="122"/>
        <v>0</v>
      </c>
      <c r="F307" s="89">
        <f t="shared" ca="1" si="123"/>
        <v>0</v>
      </c>
      <c r="G307" s="9">
        <f t="shared" ca="1" si="124"/>
        <v>0</v>
      </c>
      <c r="H307" s="89">
        <f t="shared" ca="1" si="125"/>
        <v>0</v>
      </c>
      <c r="I307" s="9">
        <f t="shared" ca="1" si="126"/>
        <v>0</v>
      </c>
      <c r="J307" s="89">
        <f t="shared" ca="1" si="127"/>
        <v>0</v>
      </c>
      <c r="K307" s="9">
        <f t="shared" ca="1" si="128"/>
        <v>0</v>
      </c>
      <c r="L307" s="89">
        <f t="shared" ca="1" si="129"/>
        <v>0</v>
      </c>
      <c r="N307" s="9">
        <f t="shared" ca="1" si="130"/>
        <v>0</v>
      </c>
      <c r="O307" s="89">
        <f t="shared" ca="1" si="131"/>
        <v>0</v>
      </c>
      <c r="P307" s="9">
        <f t="shared" ca="1" si="132"/>
        <v>0</v>
      </c>
      <c r="Q307" s="89">
        <f t="shared" ca="1" si="133"/>
        <v>0</v>
      </c>
      <c r="R307" s="9">
        <f t="shared" ca="1" si="134"/>
        <v>0</v>
      </c>
      <c r="S307" s="89">
        <f t="shared" ca="1" si="135"/>
        <v>0</v>
      </c>
      <c r="T307" s="9">
        <f t="shared" ca="1" si="134"/>
        <v>0</v>
      </c>
      <c r="U307" s="89">
        <f t="shared" ca="1" si="119"/>
        <v>0</v>
      </c>
    </row>
    <row r="308" spans="1:21" s="4" customFormat="1" x14ac:dyDescent="0.25">
      <c r="A308" s="4">
        <f t="shared" si="121"/>
        <v>92154</v>
      </c>
      <c r="B308" s="6" t="str">
        <f t="shared" si="120"/>
        <v>S</v>
      </c>
      <c r="C308" s="153"/>
      <c r="E308" s="9">
        <f t="shared" ca="1" si="122"/>
        <v>2</v>
      </c>
      <c r="F308" s="89">
        <f t="shared" ca="1" si="123"/>
        <v>10437000</v>
      </c>
      <c r="G308" s="9">
        <f t="shared" ca="1" si="124"/>
        <v>0</v>
      </c>
      <c r="H308" s="89">
        <f t="shared" ca="1" si="125"/>
        <v>0</v>
      </c>
      <c r="I308" s="9">
        <f t="shared" ca="1" si="126"/>
        <v>0</v>
      </c>
      <c r="J308" s="89">
        <f t="shared" ca="1" si="127"/>
        <v>0</v>
      </c>
      <c r="K308" s="9">
        <f t="shared" ca="1" si="128"/>
        <v>4</v>
      </c>
      <c r="L308" s="89">
        <f t="shared" ca="1" si="129"/>
        <v>13076800</v>
      </c>
      <c r="N308" s="9">
        <f t="shared" ca="1" si="130"/>
        <v>9</v>
      </c>
      <c r="O308" s="89">
        <f t="shared" ca="1" si="131"/>
        <v>30169900</v>
      </c>
      <c r="P308" s="9">
        <f t="shared" ca="1" si="132"/>
        <v>0</v>
      </c>
      <c r="Q308" s="89">
        <f t="shared" ca="1" si="133"/>
        <v>0</v>
      </c>
      <c r="R308" s="9">
        <f t="shared" ca="1" si="134"/>
        <v>0</v>
      </c>
      <c r="S308" s="89">
        <f t="shared" ca="1" si="135"/>
        <v>0</v>
      </c>
      <c r="T308" s="9">
        <f t="shared" ca="1" si="134"/>
        <v>0</v>
      </c>
      <c r="U308" s="89">
        <f t="shared" ca="1" si="119"/>
        <v>0</v>
      </c>
    </row>
    <row r="309" spans="1:21" s="4" customFormat="1" hidden="1" x14ac:dyDescent="0.25">
      <c r="A309" s="4">
        <f t="shared" si="121"/>
        <v>92155</v>
      </c>
      <c r="B309" s="6">
        <f t="shared" si="120"/>
        <v>0</v>
      </c>
      <c r="C309" s="153"/>
      <c r="E309" s="9">
        <f t="shared" ca="1" si="122"/>
        <v>0</v>
      </c>
      <c r="F309" s="89">
        <f t="shared" ca="1" si="123"/>
        <v>0</v>
      </c>
      <c r="G309" s="9">
        <f t="shared" ca="1" si="124"/>
        <v>0</v>
      </c>
      <c r="H309" s="89">
        <f t="shared" ca="1" si="125"/>
        <v>0</v>
      </c>
      <c r="I309" s="9">
        <f t="shared" ca="1" si="126"/>
        <v>0</v>
      </c>
      <c r="J309" s="89">
        <f t="shared" ca="1" si="127"/>
        <v>0</v>
      </c>
      <c r="K309" s="9">
        <f t="shared" ca="1" si="128"/>
        <v>0</v>
      </c>
      <c r="L309" s="89">
        <f t="shared" ca="1" si="129"/>
        <v>0</v>
      </c>
      <c r="N309" s="9">
        <f t="shared" ca="1" si="130"/>
        <v>0</v>
      </c>
      <c r="O309" s="89">
        <f t="shared" ca="1" si="131"/>
        <v>0</v>
      </c>
      <c r="P309" s="9">
        <f t="shared" ca="1" si="132"/>
        <v>0</v>
      </c>
      <c r="Q309" s="89">
        <f t="shared" ca="1" si="133"/>
        <v>0</v>
      </c>
      <c r="R309" s="9">
        <f t="shared" ca="1" si="134"/>
        <v>0</v>
      </c>
      <c r="S309" s="89">
        <f t="shared" ca="1" si="135"/>
        <v>0</v>
      </c>
      <c r="T309" s="9">
        <f t="shared" ca="1" si="134"/>
        <v>0</v>
      </c>
      <c r="U309" s="89">
        <f t="shared" ca="1" si="119"/>
        <v>0</v>
      </c>
    </row>
    <row r="310" spans="1:21" s="4" customFormat="1" hidden="1" x14ac:dyDescent="0.25">
      <c r="A310" s="58">
        <f t="shared" si="121"/>
        <v>92156</v>
      </c>
      <c r="B310" s="6">
        <f t="shared" si="120"/>
        <v>0</v>
      </c>
      <c r="C310" s="153"/>
      <c r="E310" s="9">
        <f t="shared" ca="1" si="122"/>
        <v>0</v>
      </c>
      <c r="F310" s="89">
        <f t="shared" ca="1" si="123"/>
        <v>0</v>
      </c>
      <c r="G310" s="9">
        <f t="shared" ca="1" si="124"/>
        <v>0</v>
      </c>
      <c r="H310" s="89">
        <f t="shared" ca="1" si="125"/>
        <v>0</v>
      </c>
      <c r="I310" s="9">
        <f t="shared" ca="1" si="126"/>
        <v>0</v>
      </c>
      <c r="J310" s="89">
        <f t="shared" ca="1" si="127"/>
        <v>0</v>
      </c>
      <c r="K310" s="9">
        <f t="shared" ca="1" si="128"/>
        <v>0</v>
      </c>
      <c r="L310" s="89">
        <f t="shared" ca="1" si="129"/>
        <v>0</v>
      </c>
      <c r="N310" s="9">
        <f t="shared" ca="1" si="130"/>
        <v>0</v>
      </c>
      <c r="O310" s="89">
        <f t="shared" ca="1" si="131"/>
        <v>0</v>
      </c>
      <c r="P310" s="9">
        <f t="shared" ca="1" si="132"/>
        <v>0</v>
      </c>
      <c r="Q310" s="89">
        <f t="shared" ca="1" si="133"/>
        <v>0</v>
      </c>
      <c r="R310" s="9">
        <f t="shared" ca="1" si="134"/>
        <v>0</v>
      </c>
      <c r="S310" s="89">
        <f t="shared" ca="1" si="135"/>
        <v>0</v>
      </c>
      <c r="T310" s="9">
        <f t="shared" ca="1" si="134"/>
        <v>0</v>
      </c>
      <c r="U310" s="89">
        <f t="shared" ca="1" si="119"/>
        <v>0</v>
      </c>
    </row>
    <row r="311" spans="1:21" s="4" customFormat="1" hidden="1" x14ac:dyDescent="0.25">
      <c r="A311" s="58">
        <f t="shared" si="121"/>
        <v>92157</v>
      </c>
      <c r="B311" s="6">
        <f t="shared" si="120"/>
        <v>0</v>
      </c>
      <c r="C311" s="153"/>
      <c r="E311" s="9">
        <f t="shared" ca="1" si="122"/>
        <v>0</v>
      </c>
      <c r="F311" s="89">
        <f t="shared" ca="1" si="123"/>
        <v>0</v>
      </c>
      <c r="G311" s="9">
        <f t="shared" ca="1" si="124"/>
        <v>0</v>
      </c>
      <c r="H311" s="89">
        <f t="shared" ca="1" si="125"/>
        <v>0</v>
      </c>
      <c r="I311" s="9">
        <f t="shared" ca="1" si="126"/>
        <v>0</v>
      </c>
      <c r="J311" s="89">
        <f t="shared" ca="1" si="127"/>
        <v>0</v>
      </c>
      <c r="K311" s="9">
        <f t="shared" ca="1" si="128"/>
        <v>0</v>
      </c>
      <c r="L311" s="89">
        <f t="shared" ca="1" si="129"/>
        <v>0</v>
      </c>
      <c r="N311" s="9">
        <f t="shared" ca="1" si="130"/>
        <v>0</v>
      </c>
      <c r="O311" s="89">
        <f t="shared" ca="1" si="131"/>
        <v>0</v>
      </c>
      <c r="P311" s="9">
        <f t="shared" ca="1" si="132"/>
        <v>0</v>
      </c>
      <c r="Q311" s="89">
        <f t="shared" ca="1" si="133"/>
        <v>0</v>
      </c>
      <c r="R311" s="9">
        <f t="shared" ca="1" si="134"/>
        <v>0</v>
      </c>
      <c r="S311" s="89">
        <f t="shared" ca="1" si="135"/>
        <v>0</v>
      </c>
      <c r="T311" s="9">
        <f t="shared" ca="1" si="134"/>
        <v>0</v>
      </c>
      <c r="U311" s="89">
        <f t="shared" ca="1" si="119"/>
        <v>0</v>
      </c>
    </row>
    <row r="312" spans="1:21" s="4" customFormat="1" hidden="1" x14ac:dyDescent="0.25">
      <c r="A312" s="4">
        <f t="shared" si="121"/>
        <v>92158</v>
      </c>
      <c r="B312" s="6">
        <f t="shared" si="120"/>
        <v>0</v>
      </c>
      <c r="C312" s="153"/>
      <c r="E312" s="9">
        <f t="shared" ca="1" si="122"/>
        <v>0</v>
      </c>
      <c r="F312" s="89">
        <f t="shared" ca="1" si="123"/>
        <v>0</v>
      </c>
      <c r="G312" s="9">
        <f t="shared" ca="1" si="124"/>
        <v>0</v>
      </c>
      <c r="H312" s="89">
        <f t="shared" ca="1" si="125"/>
        <v>0</v>
      </c>
      <c r="I312" s="9">
        <f t="shared" ca="1" si="126"/>
        <v>0</v>
      </c>
      <c r="J312" s="89">
        <f t="shared" ca="1" si="127"/>
        <v>0</v>
      </c>
      <c r="K312" s="9">
        <f t="shared" ca="1" si="128"/>
        <v>0</v>
      </c>
      <c r="L312" s="89">
        <f t="shared" ca="1" si="129"/>
        <v>0</v>
      </c>
      <c r="N312" s="9">
        <f t="shared" ca="1" si="130"/>
        <v>0</v>
      </c>
      <c r="O312" s="89">
        <f t="shared" ca="1" si="131"/>
        <v>0</v>
      </c>
      <c r="P312" s="9">
        <f t="shared" ca="1" si="132"/>
        <v>0</v>
      </c>
      <c r="Q312" s="89">
        <f t="shared" ca="1" si="133"/>
        <v>0</v>
      </c>
      <c r="R312" s="9">
        <f t="shared" ca="1" si="134"/>
        <v>0</v>
      </c>
      <c r="S312" s="89">
        <f t="shared" ca="1" si="135"/>
        <v>0</v>
      </c>
      <c r="T312" s="9">
        <f t="shared" ca="1" si="134"/>
        <v>0</v>
      </c>
      <c r="U312" s="89">
        <f t="shared" ca="1" si="119"/>
        <v>0</v>
      </c>
    </row>
    <row r="313" spans="1:21" s="4" customFormat="1" hidden="1" x14ac:dyDescent="0.25">
      <c r="A313" s="4">
        <f t="shared" si="121"/>
        <v>92159</v>
      </c>
      <c r="B313" s="6">
        <f t="shared" si="120"/>
        <v>0</v>
      </c>
      <c r="C313" s="153"/>
      <c r="E313" s="9">
        <f t="shared" ca="1" si="122"/>
        <v>0</v>
      </c>
      <c r="F313" s="89">
        <f t="shared" ca="1" si="123"/>
        <v>0</v>
      </c>
      <c r="G313" s="9">
        <f t="shared" ca="1" si="124"/>
        <v>0</v>
      </c>
      <c r="H313" s="89">
        <f t="shared" ca="1" si="125"/>
        <v>0</v>
      </c>
      <c r="I313" s="9">
        <f t="shared" ca="1" si="126"/>
        <v>0</v>
      </c>
      <c r="J313" s="89">
        <f t="shared" ca="1" si="127"/>
        <v>0</v>
      </c>
      <c r="K313" s="9">
        <f t="shared" ca="1" si="128"/>
        <v>0</v>
      </c>
      <c r="L313" s="89">
        <f t="shared" ca="1" si="129"/>
        <v>0</v>
      </c>
      <c r="N313" s="9">
        <f t="shared" ca="1" si="130"/>
        <v>0</v>
      </c>
      <c r="O313" s="89">
        <f t="shared" ca="1" si="131"/>
        <v>0</v>
      </c>
      <c r="P313" s="9">
        <f t="shared" ca="1" si="132"/>
        <v>0</v>
      </c>
      <c r="Q313" s="89">
        <f t="shared" ca="1" si="133"/>
        <v>0</v>
      </c>
      <c r="R313" s="9">
        <f t="shared" ca="1" si="134"/>
        <v>0</v>
      </c>
      <c r="S313" s="89">
        <f t="shared" ca="1" si="135"/>
        <v>0</v>
      </c>
      <c r="T313" s="9">
        <f t="shared" ca="1" si="134"/>
        <v>0</v>
      </c>
      <c r="U313" s="89">
        <f t="shared" ca="1" si="119"/>
        <v>0</v>
      </c>
    </row>
    <row r="314" spans="1:21" s="4" customFormat="1" hidden="1" x14ac:dyDescent="0.25">
      <c r="A314" s="4">
        <f t="shared" si="121"/>
        <v>92160</v>
      </c>
      <c r="B314" s="6">
        <f t="shared" si="120"/>
        <v>0</v>
      </c>
      <c r="C314" s="153"/>
      <c r="E314" s="9">
        <f t="shared" ca="1" si="122"/>
        <v>0</v>
      </c>
      <c r="F314" s="89">
        <f t="shared" ca="1" si="123"/>
        <v>0</v>
      </c>
      <c r="G314" s="9">
        <f t="shared" ca="1" si="124"/>
        <v>0</v>
      </c>
      <c r="H314" s="89">
        <f t="shared" ca="1" si="125"/>
        <v>0</v>
      </c>
      <c r="I314" s="9">
        <f t="shared" ca="1" si="126"/>
        <v>0</v>
      </c>
      <c r="J314" s="89">
        <f t="shared" ca="1" si="127"/>
        <v>0</v>
      </c>
      <c r="K314" s="9">
        <f t="shared" ca="1" si="128"/>
        <v>0</v>
      </c>
      <c r="L314" s="89">
        <f t="shared" ca="1" si="129"/>
        <v>0</v>
      </c>
      <c r="N314" s="9">
        <f t="shared" ca="1" si="130"/>
        <v>0</v>
      </c>
      <c r="O314" s="89">
        <f t="shared" ca="1" si="131"/>
        <v>0</v>
      </c>
      <c r="P314" s="9">
        <f t="shared" ca="1" si="132"/>
        <v>0</v>
      </c>
      <c r="Q314" s="89">
        <f t="shared" ca="1" si="133"/>
        <v>0</v>
      </c>
      <c r="R314" s="9">
        <f t="shared" ca="1" si="134"/>
        <v>0</v>
      </c>
      <c r="S314" s="89">
        <f t="shared" ca="1" si="135"/>
        <v>0</v>
      </c>
      <c r="T314" s="9">
        <f t="shared" ca="1" si="134"/>
        <v>0</v>
      </c>
      <c r="U314" s="89">
        <f t="shared" ca="1" si="119"/>
        <v>0</v>
      </c>
    </row>
    <row r="315" spans="1:21" s="4" customFormat="1" hidden="1" x14ac:dyDescent="0.25">
      <c r="A315" s="4">
        <f t="shared" si="121"/>
        <v>92161</v>
      </c>
      <c r="B315" s="6" t="str">
        <f t="shared" si="120"/>
        <v>S</v>
      </c>
      <c r="C315" s="153"/>
      <c r="E315" s="9">
        <f t="shared" ca="1" si="122"/>
        <v>0</v>
      </c>
      <c r="F315" s="89">
        <f t="shared" ca="1" si="123"/>
        <v>0</v>
      </c>
      <c r="G315" s="9">
        <f t="shared" ca="1" si="124"/>
        <v>0</v>
      </c>
      <c r="H315" s="89">
        <f t="shared" ca="1" si="125"/>
        <v>0</v>
      </c>
      <c r="I315" s="9">
        <f t="shared" ca="1" si="126"/>
        <v>0</v>
      </c>
      <c r="J315" s="89">
        <f t="shared" ca="1" si="127"/>
        <v>0</v>
      </c>
      <c r="K315" s="9">
        <f t="shared" ca="1" si="128"/>
        <v>0</v>
      </c>
      <c r="L315" s="89">
        <f t="shared" ca="1" si="129"/>
        <v>0</v>
      </c>
      <c r="N315" s="9">
        <f t="shared" ca="1" si="130"/>
        <v>0</v>
      </c>
      <c r="O315" s="89">
        <f t="shared" ca="1" si="131"/>
        <v>0</v>
      </c>
      <c r="P315" s="9">
        <f t="shared" ca="1" si="132"/>
        <v>0</v>
      </c>
      <c r="Q315" s="89">
        <f t="shared" ca="1" si="133"/>
        <v>0</v>
      </c>
      <c r="R315" s="9">
        <f t="shared" ca="1" si="134"/>
        <v>0</v>
      </c>
      <c r="S315" s="89">
        <f t="shared" ca="1" si="135"/>
        <v>0</v>
      </c>
      <c r="T315" s="9">
        <f t="shared" ca="1" si="134"/>
        <v>0</v>
      </c>
      <c r="U315" s="89">
        <f t="shared" ca="1" si="119"/>
        <v>0</v>
      </c>
    </row>
    <row r="316" spans="1:21" s="4" customFormat="1" hidden="1" x14ac:dyDescent="0.25">
      <c r="A316" s="58">
        <f t="shared" si="121"/>
        <v>92162</v>
      </c>
      <c r="B316" s="6">
        <f t="shared" si="120"/>
        <v>0</v>
      </c>
      <c r="C316" s="153"/>
      <c r="E316" s="9">
        <f t="shared" ca="1" si="122"/>
        <v>0</v>
      </c>
      <c r="F316" s="89">
        <f t="shared" ca="1" si="123"/>
        <v>0</v>
      </c>
      <c r="G316" s="9">
        <f t="shared" ca="1" si="124"/>
        <v>0</v>
      </c>
      <c r="H316" s="89">
        <f t="shared" ca="1" si="125"/>
        <v>0</v>
      </c>
      <c r="I316" s="9">
        <f t="shared" ca="1" si="126"/>
        <v>0</v>
      </c>
      <c r="J316" s="89">
        <f t="shared" ca="1" si="127"/>
        <v>0</v>
      </c>
      <c r="K316" s="9">
        <f t="shared" ca="1" si="128"/>
        <v>0</v>
      </c>
      <c r="L316" s="89">
        <f t="shared" ca="1" si="129"/>
        <v>0</v>
      </c>
      <c r="N316" s="9">
        <f t="shared" ca="1" si="130"/>
        <v>0</v>
      </c>
      <c r="O316" s="89">
        <f t="shared" ca="1" si="131"/>
        <v>0</v>
      </c>
      <c r="P316" s="9">
        <f t="shared" ca="1" si="132"/>
        <v>0</v>
      </c>
      <c r="Q316" s="89">
        <f t="shared" ca="1" si="133"/>
        <v>0</v>
      </c>
      <c r="R316" s="9">
        <f t="shared" ca="1" si="134"/>
        <v>0</v>
      </c>
      <c r="S316" s="89">
        <f t="shared" ca="1" si="135"/>
        <v>0</v>
      </c>
      <c r="T316" s="9">
        <f t="shared" ca="1" si="134"/>
        <v>0</v>
      </c>
      <c r="U316" s="89">
        <f t="shared" ca="1" si="119"/>
        <v>0</v>
      </c>
    </row>
    <row r="317" spans="1:21" s="4" customFormat="1" hidden="1" x14ac:dyDescent="0.25">
      <c r="A317" s="4">
        <f t="shared" ref="A317:A348" si="136">A82</f>
        <v>92163</v>
      </c>
      <c r="B317" s="6">
        <f t="shared" si="120"/>
        <v>0</v>
      </c>
      <c r="C317" s="153"/>
      <c r="E317" s="9">
        <f t="shared" ref="E317:E353" ca="1" si="137">COUNTIFS(Map_Sym,E$251,ZIP_5,$A317)</f>
        <v>0</v>
      </c>
      <c r="F317" s="89">
        <f t="shared" ref="F317:F348" ca="1" si="138">SUMIFS(Site_Sum_W,Map_Sym,E$251,ZIP_5,$A317)</f>
        <v>0</v>
      </c>
      <c r="G317" s="9">
        <f t="shared" ref="G317:G353" ca="1" si="139">COUNTIFS(Map_Sym,G$251,ZIP_5,$A317)</f>
        <v>0</v>
      </c>
      <c r="H317" s="89">
        <f t="shared" ref="H317:H348" ca="1" si="140">SUMIFS(Site_Sum_W,Map_Sym,G$251,ZIP_5,$A317)</f>
        <v>0</v>
      </c>
      <c r="I317" s="9">
        <f t="shared" ref="I317:I353" ca="1" si="141">COUNTIFS(Map_Sym,I$251,ZIP_5,$A317)</f>
        <v>0</v>
      </c>
      <c r="J317" s="89">
        <f t="shared" ref="J317:J348" ca="1" si="142">SUMIFS(Site_Sum_W,Map_Sym,I$251,ZIP_5,$A317)</f>
        <v>0</v>
      </c>
      <c r="K317" s="9">
        <f t="shared" ref="K317:K353" ca="1" si="143">COUNTIFS(Map_Sym,K$251,ZIP_5,$A317)</f>
        <v>0</v>
      </c>
      <c r="L317" s="89">
        <f t="shared" ref="L317:L348" ca="1" si="144">SUMIFS(Site_Sum_W,Map_Sym,K$251,ZIP_5,$A317)</f>
        <v>0</v>
      </c>
      <c r="N317" s="9">
        <f t="shared" ref="N317:N353" ca="1" si="145">COUNTIFS(Map_Sym,N$251,ZIP_5,$A317)</f>
        <v>0</v>
      </c>
      <c r="O317" s="89">
        <f t="shared" ref="O317:O348" ca="1" si="146">SUMIFS(Site_Sum_W,Map_Sym,N$251,ZIP_5,$A317)</f>
        <v>0</v>
      </c>
      <c r="P317" s="9">
        <f t="shared" ref="P317:P353" ca="1" si="147">COUNTIFS(Map_Sym,P$251,ZIP_5,$A317)</f>
        <v>0</v>
      </c>
      <c r="Q317" s="89">
        <f t="shared" ref="Q317:Q348" ca="1" si="148">SUMIFS(Site_Sum_W,Map_Sym,P$251,ZIP_5,$A317)</f>
        <v>0</v>
      </c>
      <c r="R317" s="9">
        <f t="shared" ref="R317:T353" ca="1" si="149">COUNTIFS(Map_Sym,R$251,ZIP_5,$A317)</f>
        <v>0</v>
      </c>
      <c r="S317" s="89">
        <f t="shared" ref="S317:S348" ca="1" si="150">SUMIFS(Site_Sum_W,Map_Sym,R$251,ZIP_5,$A317)</f>
        <v>0</v>
      </c>
      <c r="T317" s="9">
        <f t="shared" ca="1" si="149"/>
        <v>0</v>
      </c>
      <c r="U317" s="89">
        <f t="shared" ref="U317:U348" ca="1" si="151">SUMIFS(Site_Sum_W,Map_Sym,T$251,ZIP_5,$A317)</f>
        <v>0</v>
      </c>
    </row>
    <row r="318" spans="1:21" s="4" customFormat="1" hidden="1" x14ac:dyDescent="0.25">
      <c r="A318" s="58">
        <f t="shared" si="136"/>
        <v>92164</v>
      </c>
      <c r="B318" s="6">
        <f t="shared" ref="B318:B353" si="152">B196</f>
        <v>0</v>
      </c>
      <c r="C318" s="153"/>
      <c r="E318" s="9">
        <f t="shared" ca="1" si="137"/>
        <v>0</v>
      </c>
      <c r="F318" s="89">
        <f t="shared" ca="1" si="138"/>
        <v>0</v>
      </c>
      <c r="G318" s="9">
        <f t="shared" ca="1" si="139"/>
        <v>0</v>
      </c>
      <c r="H318" s="89">
        <f t="shared" ca="1" si="140"/>
        <v>0</v>
      </c>
      <c r="I318" s="9">
        <f t="shared" ca="1" si="141"/>
        <v>0</v>
      </c>
      <c r="J318" s="89">
        <f t="shared" ca="1" si="142"/>
        <v>0</v>
      </c>
      <c r="K318" s="9">
        <f t="shared" ca="1" si="143"/>
        <v>0</v>
      </c>
      <c r="L318" s="89">
        <f t="shared" ca="1" si="144"/>
        <v>0</v>
      </c>
      <c r="N318" s="9">
        <f t="shared" ca="1" si="145"/>
        <v>0</v>
      </c>
      <c r="O318" s="89">
        <f t="shared" ca="1" si="146"/>
        <v>0</v>
      </c>
      <c r="P318" s="9">
        <f t="shared" ca="1" si="147"/>
        <v>0</v>
      </c>
      <c r="Q318" s="89">
        <f t="shared" ca="1" si="148"/>
        <v>0</v>
      </c>
      <c r="R318" s="9">
        <f t="shared" ca="1" si="149"/>
        <v>0</v>
      </c>
      <c r="S318" s="89">
        <f t="shared" ca="1" si="150"/>
        <v>0</v>
      </c>
      <c r="T318" s="9">
        <f t="shared" ca="1" si="149"/>
        <v>0</v>
      </c>
      <c r="U318" s="89">
        <f t="shared" ca="1" si="151"/>
        <v>0</v>
      </c>
    </row>
    <row r="319" spans="1:21" s="4" customFormat="1" hidden="1" x14ac:dyDescent="0.25">
      <c r="A319" s="4">
        <f t="shared" si="136"/>
        <v>92165</v>
      </c>
      <c r="B319" s="6">
        <f t="shared" si="152"/>
        <v>0</v>
      </c>
      <c r="C319" s="153"/>
      <c r="E319" s="9">
        <f t="shared" ca="1" si="137"/>
        <v>0</v>
      </c>
      <c r="F319" s="89">
        <f t="shared" ca="1" si="138"/>
        <v>0</v>
      </c>
      <c r="G319" s="9">
        <f t="shared" ca="1" si="139"/>
        <v>0</v>
      </c>
      <c r="H319" s="89">
        <f t="shared" ca="1" si="140"/>
        <v>0</v>
      </c>
      <c r="I319" s="9">
        <f t="shared" ca="1" si="141"/>
        <v>0</v>
      </c>
      <c r="J319" s="89">
        <f t="shared" ca="1" si="142"/>
        <v>0</v>
      </c>
      <c r="K319" s="9">
        <f t="shared" ca="1" si="143"/>
        <v>0</v>
      </c>
      <c r="L319" s="89">
        <f t="shared" ca="1" si="144"/>
        <v>0</v>
      </c>
      <c r="N319" s="9">
        <f t="shared" ca="1" si="145"/>
        <v>0</v>
      </c>
      <c r="O319" s="89">
        <f t="shared" ca="1" si="146"/>
        <v>0</v>
      </c>
      <c r="P319" s="9">
        <f t="shared" ca="1" si="147"/>
        <v>0</v>
      </c>
      <c r="Q319" s="89">
        <f t="shared" ca="1" si="148"/>
        <v>0</v>
      </c>
      <c r="R319" s="9">
        <f t="shared" ca="1" si="149"/>
        <v>0</v>
      </c>
      <c r="S319" s="89">
        <f t="shared" ca="1" si="150"/>
        <v>0</v>
      </c>
      <c r="T319" s="9">
        <f t="shared" ca="1" si="149"/>
        <v>0</v>
      </c>
      <c r="U319" s="89">
        <f t="shared" ca="1" si="151"/>
        <v>0</v>
      </c>
    </row>
    <row r="320" spans="1:21" s="4" customFormat="1" hidden="1" x14ac:dyDescent="0.25">
      <c r="A320" s="4">
        <f t="shared" si="136"/>
        <v>92166</v>
      </c>
      <c r="B320" s="6">
        <f t="shared" si="152"/>
        <v>0</v>
      </c>
      <c r="C320" s="153"/>
      <c r="E320" s="9">
        <f t="shared" ca="1" si="137"/>
        <v>0</v>
      </c>
      <c r="F320" s="89">
        <f t="shared" ca="1" si="138"/>
        <v>0</v>
      </c>
      <c r="G320" s="9">
        <f t="shared" ca="1" si="139"/>
        <v>0</v>
      </c>
      <c r="H320" s="89">
        <f t="shared" ca="1" si="140"/>
        <v>0</v>
      </c>
      <c r="I320" s="9">
        <f t="shared" ca="1" si="141"/>
        <v>0</v>
      </c>
      <c r="J320" s="89">
        <f t="shared" ca="1" si="142"/>
        <v>0</v>
      </c>
      <c r="K320" s="9">
        <f t="shared" ca="1" si="143"/>
        <v>0</v>
      </c>
      <c r="L320" s="89">
        <f t="shared" ca="1" si="144"/>
        <v>0</v>
      </c>
      <c r="N320" s="9">
        <f t="shared" ca="1" si="145"/>
        <v>0</v>
      </c>
      <c r="O320" s="89">
        <f t="shared" ca="1" si="146"/>
        <v>0</v>
      </c>
      <c r="P320" s="9">
        <f t="shared" ca="1" si="147"/>
        <v>0</v>
      </c>
      <c r="Q320" s="89">
        <f t="shared" ca="1" si="148"/>
        <v>0</v>
      </c>
      <c r="R320" s="9">
        <f t="shared" ca="1" si="149"/>
        <v>0</v>
      </c>
      <c r="S320" s="89">
        <f t="shared" ca="1" si="150"/>
        <v>0</v>
      </c>
      <c r="T320" s="9">
        <f t="shared" ca="1" si="149"/>
        <v>0</v>
      </c>
      <c r="U320" s="89">
        <f t="shared" ca="1" si="151"/>
        <v>0</v>
      </c>
    </row>
    <row r="321" spans="1:21" s="4" customFormat="1" hidden="1" x14ac:dyDescent="0.25">
      <c r="A321" s="4">
        <f t="shared" si="136"/>
        <v>92167</v>
      </c>
      <c r="B321" s="6">
        <f t="shared" si="152"/>
        <v>0</v>
      </c>
      <c r="C321" s="153"/>
      <c r="E321" s="9">
        <f t="shared" ca="1" si="137"/>
        <v>0</v>
      </c>
      <c r="F321" s="89">
        <f t="shared" ca="1" si="138"/>
        <v>0</v>
      </c>
      <c r="G321" s="9">
        <f t="shared" ca="1" si="139"/>
        <v>0</v>
      </c>
      <c r="H321" s="89">
        <f t="shared" ca="1" si="140"/>
        <v>0</v>
      </c>
      <c r="I321" s="9">
        <f t="shared" ca="1" si="141"/>
        <v>0</v>
      </c>
      <c r="J321" s="89">
        <f t="shared" ca="1" si="142"/>
        <v>0</v>
      </c>
      <c r="K321" s="9">
        <f t="shared" ca="1" si="143"/>
        <v>0</v>
      </c>
      <c r="L321" s="89">
        <f t="shared" ca="1" si="144"/>
        <v>0</v>
      </c>
      <c r="N321" s="9">
        <f t="shared" ca="1" si="145"/>
        <v>0</v>
      </c>
      <c r="O321" s="89">
        <f t="shared" ca="1" si="146"/>
        <v>0</v>
      </c>
      <c r="P321" s="9">
        <f t="shared" ca="1" si="147"/>
        <v>0</v>
      </c>
      <c r="Q321" s="89">
        <f t="shared" ca="1" si="148"/>
        <v>0</v>
      </c>
      <c r="R321" s="9">
        <f t="shared" ca="1" si="149"/>
        <v>0</v>
      </c>
      <c r="S321" s="89">
        <f t="shared" ca="1" si="150"/>
        <v>0</v>
      </c>
      <c r="T321" s="9">
        <f t="shared" ca="1" si="149"/>
        <v>0</v>
      </c>
      <c r="U321" s="89">
        <f t="shared" ca="1" si="151"/>
        <v>0</v>
      </c>
    </row>
    <row r="322" spans="1:21" s="4" customFormat="1" hidden="1" x14ac:dyDescent="0.25">
      <c r="A322" s="4">
        <f t="shared" si="136"/>
        <v>92168</v>
      </c>
      <c r="B322" s="6">
        <f t="shared" si="152"/>
        <v>0</v>
      </c>
      <c r="C322" s="153"/>
      <c r="E322" s="9">
        <f t="shared" ca="1" si="137"/>
        <v>0</v>
      </c>
      <c r="F322" s="89">
        <f t="shared" ca="1" si="138"/>
        <v>0</v>
      </c>
      <c r="G322" s="9">
        <f t="shared" ca="1" si="139"/>
        <v>0</v>
      </c>
      <c r="H322" s="89">
        <f t="shared" ca="1" si="140"/>
        <v>0</v>
      </c>
      <c r="I322" s="9">
        <f t="shared" ca="1" si="141"/>
        <v>0</v>
      </c>
      <c r="J322" s="89">
        <f t="shared" ca="1" si="142"/>
        <v>0</v>
      </c>
      <c r="K322" s="9">
        <f t="shared" ca="1" si="143"/>
        <v>0</v>
      </c>
      <c r="L322" s="89">
        <f t="shared" ca="1" si="144"/>
        <v>0</v>
      </c>
      <c r="N322" s="9">
        <f t="shared" ca="1" si="145"/>
        <v>0</v>
      </c>
      <c r="O322" s="89">
        <f t="shared" ca="1" si="146"/>
        <v>0</v>
      </c>
      <c r="P322" s="9">
        <f t="shared" ca="1" si="147"/>
        <v>0</v>
      </c>
      <c r="Q322" s="89">
        <f t="shared" ca="1" si="148"/>
        <v>0</v>
      </c>
      <c r="R322" s="9">
        <f t="shared" ca="1" si="149"/>
        <v>0</v>
      </c>
      <c r="S322" s="89">
        <f t="shared" ca="1" si="150"/>
        <v>0</v>
      </c>
      <c r="T322" s="9">
        <f t="shared" ca="1" si="149"/>
        <v>0</v>
      </c>
      <c r="U322" s="89">
        <f t="shared" ca="1" si="151"/>
        <v>0</v>
      </c>
    </row>
    <row r="323" spans="1:21" s="4" customFormat="1" hidden="1" x14ac:dyDescent="0.25">
      <c r="A323" s="4">
        <f t="shared" si="136"/>
        <v>92169</v>
      </c>
      <c r="B323" s="6">
        <f t="shared" si="152"/>
        <v>0</v>
      </c>
      <c r="C323" s="153"/>
      <c r="E323" s="9">
        <f t="shared" ca="1" si="137"/>
        <v>0</v>
      </c>
      <c r="F323" s="89">
        <f t="shared" ca="1" si="138"/>
        <v>0</v>
      </c>
      <c r="G323" s="9">
        <f t="shared" ca="1" si="139"/>
        <v>0</v>
      </c>
      <c r="H323" s="89">
        <f t="shared" ca="1" si="140"/>
        <v>0</v>
      </c>
      <c r="I323" s="9">
        <f t="shared" ca="1" si="141"/>
        <v>0</v>
      </c>
      <c r="J323" s="89">
        <f t="shared" ca="1" si="142"/>
        <v>0</v>
      </c>
      <c r="K323" s="9">
        <f t="shared" ca="1" si="143"/>
        <v>0</v>
      </c>
      <c r="L323" s="89">
        <f t="shared" ca="1" si="144"/>
        <v>0</v>
      </c>
      <c r="N323" s="9">
        <f t="shared" ca="1" si="145"/>
        <v>0</v>
      </c>
      <c r="O323" s="89">
        <f t="shared" ca="1" si="146"/>
        <v>0</v>
      </c>
      <c r="P323" s="9">
        <f t="shared" ca="1" si="147"/>
        <v>0</v>
      </c>
      <c r="Q323" s="89">
        <f t="shared" ca="1" si="148"/>
        <v>0</v>
      </c>
      <c r="R323" s="9">
        <f t="shared" ca="1" si="149"/>
        <v>0</v>
      </c>
      <c r="S323" s="89">
        <f t="shared" ca="1" si="150"/>
        <v>0</v>
      </c>
      <c r="T323" s="9">
        <f t="shared" ca="1" si="149"/>
        <v>0</v>
      </c>
      <c r="U323" s="89">
        <f t="shared" ca="1" si="151"/>
        <v>0</v>
      </c>
    </row>
    <row r="324" spans="1:21" s="4" customFormat="1" hidden="1" x14ac:dyDescent="0.25">
      <c r="A324" s="4">
        <f t="shared" si="136"/>
        <v>92170</v>
      </c>
      <c r="B324" s="6">
        <f t="shared" si="152"/>
        <v>0</v>
      </c>
      <c r="C324" s="153"/>
      <c r="E324" s="9">
        <f t="shared" ca="1" si="137"/>
        <v>0</v>
      </c>
      <c r="F324" s="89">
        <f t="shared" ca="1" si="138"/>
        <v>0</v>
      </c>
      <c r="G324" s="9">
        <f t="shared" ca="1" si="139"/>
        <v>0</v>
      </c>
      <c r="H324" s="89">
        <f t="shared" ca="1" si="140"/>
        <v>0</v>
      </c>
      <c r="I324" s="9">
        <f t="shared" ca="1" si="141"/>
        <v>0</v>
      </c>
      <c r="J324" s="89">
        <f t="shared" ca="1" si="142"/>
        <v>0</v>
      </c>
      <c r="K324" s="9">
        <f t="shared" ca="1" si="143"/>
        <v>0</v>
      </c>
      <c r="L324" s="89">
        <f t="shared" ca="1" si="144"/>
        <v>0</v>
      </c>
      <c r="N324" s="9">
        <f t="shared" ca="1" si="145"/>
        <v>0</v>
      </c>
      <c r="O324" s="89">
        <f t="shared" ca="1" si="146"/>
        <v>0</v>
      </c>
      <c r="P324" s="9">
        <f t="shared" ca="1" si="147"/>
        <v>0</v>
      </c>
      <c r="Q324" s="89">
        <f t="shared" ca="1" si="148"/>
        <v>0</v>
      </c>
      <c r="R324" s="9">
        <f t="shared" ca="1" si="149"/>
        <v>0</v>
      </c>
      <c r="S324" s="89">
        <f t="shared" ca="1" si="150"/>
        <v>0</v>
      </c>
      <c r="T324" s="9">
        <f t="shared" ca="1" si="149"/>
        <v>0</v>
      </c>
      <c r="U324" s="89">
        <f t="shared" ca="1" si="151"/>
        <v>0</v>
      </c>
    </row>
    <row r="325" spans="1:21" s="4" customFormat="1" hidden="1" x14ac:dyDescent="0.25">
      <c r="A325" s="4">
        <f t="shared" si="136"/>
        <v>92171</v>
      </c>
      <c r="B325" s="6">
        <f t="shared" si="152"/>
        <v>0</v>
      </c>
      <c r="C325" s="153"/>
      <c r="E325" s="9">
        <f t="shared" ca="1" si="137"/>
        <v>0</v>
      </c>
      <c r="F325" s="89">
        <f t="shared" ca="1" si="138"/>
        <v>0</v>
      </c>
      <c r="G325" s="9">
        <f t="shared" ca="1" si="139"/>
        <v>0</v>
      </c>
      <c r="H325" s="89">
        <f t="shared" ca="1" si="140"/>
        <v>0</v>
      </c>
      <c r="I325" s="9">
        <f t="shared" ca="1" si="141"/>
        <v>0</v>
      </c>
      <c r="J325" s="89">
        <f t="shared" ca="1" si="142"/>
        <v>0</v>
      </c>
      <c r="K325" s="9">
        <f t="shared" ca="1" si="143"/>
        <v>0</v>
      </c>
      <c r="L325" s="89">
        <f t="shared" ca="1" si="144"/>
        <v>0</v>
      </c>
      <c r="N325" s="9">
        <f t="shared" ca="1" si="145"/>
        <v>0</v>
      </c>
      <c r="O325" s="89">
        <f t="shared" ca="1" si="146"/>
        <v>0</v>
      </c>
      <c r="P325" s="9">
        <f t="shared" ca="1" si="147"/>
        <v>0</v>
      </c>
      <c r="Q325" s="89">
        <f t="shared" ca="1" si="148"/>
        <v>0</v>
      </c>
      <c r="R325" s="9">
        <f t="shared" ca="1" si="149"/>
        <v>0</v>
      </c>
      <c r="S325" s="89">
        <f t="shared" ca="1" si="150"/>
        <v>0</v>
      </c>
      <c r="T325" s="9">
        <f t="shared" ca="1" si="149"/>
        <v>0</v>
      </c>
      <c r="U325" s="89">
        <f t="shared" ca="1" si="151"/>
        <v>0</v>
      </c>
    </row>
    <row r="326" spans="1:21" s="4" customFormat="1" hidden="1" x14ac:dyDescent="0.25">
      <c r="A326" s="4">
        <f t="shared" si="136"/>
        <v>92172</v>
      </c>
      <c r="B326" s="6">
        <f t="shared" si="152"/>
        <v>0</v>
      </c>
      <c r="C326" s="153"/>
      <c r="E326" s="9">
        <f t="shared" ca="1" si="137"/>
        <v>0</v>
      </c>
      <c r="F326" s="89">
        <f t="shared" ca="1" si="138"/>
        <v>0</v>
      </c>
      <c r="G326" s="9">
        <f t="shared" ca="1" si="139"/>
        <v>0</v>
      </c>
      <c r="H326" s="89">
        <f t="shared" ca="1" si="140"/>
        <v>0</v>
      </c>
      <c r="I326" s="9">
        <f t="shared" ca="1" si="141"/>
        <v>0</v>
      </c>
      <c r="J326" s="89">
        <f t="shared" ca="1" si="142"/>
        <v>0</v>
      </c>
      <c r="K326" s="9">
        <f t="shared" ca="1" si="143"/>
        <v>0</v>
      </c>
      <c r="L326" s="89">
        <f t="shared" ca="1" si="144"/>
        <v>0</v>
      </c>
      <c r="N326" s="9">
        <f t="shared" ca="1" si="145"/>
        <v>0</v>
      </c>
      <c r="O326" s="89">
        <f t="shared" ca="1" si="146"/>
        <v>0</v>
      </c>
      <c r="P326" s="9">
        <f t="shared" ca="1" si="147"/>
        <v>0</v>
      </c>
      <c r="Q326" s="89">
        <f t="shared" ca="1" si="148"/>
        <v>0</v>
      </c>
      <c r="R326" s="9">
        <f t="shared" ca="1" si="149"/>
        <v>0</v>
      </c>
      <c r="S326" s="89">
        <f t="shared" ca="1" si="150"/>
        <v>0</v>
      </c>
      <c r="T326" s="9">
        <f t="shared" ca="1" si="149"/>
        <v>0</v>
      </c>
      <c r="U326" s="89">
        <f t="shared" ca="1" si="151"/>
        <v>0</v>
      </c>
    </row>
    <row r="327" spans="1:21" s="4" customFormat="1" x14ac:dyDescent="0.25">
      <c r="A327" s="4">
        <f t="shared" si="136"/>
        <v>92173</v>
      </c>
      <c r="B327" s="6" t="str">
        <f t="shared" si="152"/>
        <v>S</v>
      </c>
      <c r="C327" s="153"/>
      <c r="E327" s="9">
        <f t="shared" ca="1" si="137"/>
        <v>2</v>
      </c>
      <c r="F327" s="89">
        <f t="shared" ca="1" si="138"/>
        <v>8090300</v>
      </c>
      <c r="G327" s="9">
        <f t="shared" ca="1" si="139"/>
        <v>0</v>
      </c>
      <c r="H327" s="89">
        <f t="shared" ca="1" si="140"/>
        <v>0</v>
      </c>
      <c r="I327" s="9">
        <f t="shared" ca="1" si="141"/>
        <v>0</v>
      </c>
      <c r="J327" s="89">
        <f t="shared" ca="1" si="142"/>
        <v>0</v>
      </c>
      <c r="K327" s="9">
        <f t="shared" ca="1" si="143"/>
        <v>0</v>
      </c>
      <c r="L327" s="89">
        <f t="shared" ca="1" si="144"/>
        <v>0</v>
      </c>
      <c r="N327" s="9">
        <f t="shared" ca="1" si="145"/>
        <v>0</v>
      </c>
      <c r="O327" s="89">
        <f t="shared" ca="1" si="146"/>
        <v>0</v>
      </c>
      <c r="P327" s="9">
        <f t="shared" ca="1" si="147"/>
        <v>0</v>
      </c>
      <c r="Q327" s="89">
        <f t="shared" ca="1" si="148"/>
        <v>0</v>
      </c>
      <c r="R327" s="9">
        <f t="shared" ca="1" si="149"/>
        <v>0</v>
      </c>
      <c r="S327" s="89">
        <f t="shared" ca="1" si="150"/>
        <v>0</v>
      </c>
      <c r="T327" s="9">
        <f t="shared" ca="1" si="149"/>
        <v>0</v>
      </c>
      <c r="U327" s="89">
        <f t="shared" ca="1" si="151"/>
        <v>0</v>
      </c>
    </row>
    <row r="328" spans="1:21" s="4" customFormat="1" hidden="1" x14ac:dyDescent="0.25">
      <c r="A328" s="4">
        <f t="shared" si="136"/>
        <v>92174</v>
      </c>
      <c r="B328" s="6">
        <f t="shared" si="152"/>
        <v>0</v>
      </c>
      <c r="C328" s="153"/>
      <c r="E328" s="9">
        <f t="shared" ca="1" si="137"/>
        <v>0</v>
      </c>
      <c r="F328" s="89">
        <f t="shared" ca="1" si="138"/>
        <v>0</v>
      </c>
      <c r="G328" s="9">
        <f t="shared" ca="1" si="139"/>
        <v>0</v>
      </c>
      <c r="H328" s="89">
        <f t="shared" ca="1" si="140"/>
        <v>0</v>
      </c>
      <c r="I328" s="9">
        <f t="shared" ca="1" si="141"/>
        <v>0</v>
      </c>
      <c r="J328" s="89">
        <f t="shared" ca="1" si="142"/>
        <v>0</v>
      </c>
      <c r="K328" s="9">
        <f t="shared" ca="1" si="143"/>
        <v>0</v>
      </c>
      <c r="L328" s="89">
        <f t="shared" ca="1" si="144"/>
        <v>0</v>
      </c>
      <c r="N328" s="9">
        <f t="shared" ca="1" si="145"/>
        <v>0</v>
      </c>
      <c r="O328" s="89">
        <f t="shared" ca="1" si="146"/>
        <v>0</v>
      </c>
      <c r="P328" s="9">
        <f t="shared" ca="1" si="147"/>
        <v>0</v>
      </c>
      <c r="Q328" s="89">
        <f t="shared" ca="1" si="148"/>
        <v>0</v>
      </c>
      <c r="R328" s="9">
        <f t="shared" ca="1" si="149"/>
        <v>0</v>
      </c>
      <c r="S328" s="89">
        <f t="shared" ca="1" si="150"/>
        <v>0</v>
      </c>
      <c r="T328" s="9">
        <f t="shared" ca="1" si="149"/>
        <v>0</v>
      </c>
      <c r="U328" s="89">
        <f t="shared" ca="1" si="151"/>
        <v>0</v>
      </c>
    </row>
    <row r="329" spans="1:21" s="4" customFormat="1" hidden="1" x14ac:dyDescent="0.25">
      <c r="A329" s="4">
        <f t="shared" si="136"/>
        <v>92175</v>
      </c>
      <c r="B329" s="6">
        <f t="shared" si="152"/>
        <v>0</v>
      </c>
      <c r="C329" s="153"/>
      <c r="E329" s="9">
        <f t="shared" ca="1" si="137"/>
        <v>0</v>
      </c>
      <c r="F329" s="89">
        <f t="shared" ca="1" si="138"/>
        <v>0</v>
      </c>
      <c r="G329" s="9">
        <f t="shared" ca="1" si="139"/>
        <v>0</v>
      </c>
      <c r="H329" s="89">
        <f t="shared" ca="1" si="140"/>
        <v>0</v>
      </c>
      <c r="I329" s="9">
        <f t="shared" ca="1" si="141"/>
        <v>0</v>
      </c>
      <c r="J329" s="89">
        <f t="shared" ca="1" si="142"/>
        <v>0</v>
      </c>
      <c r="K329" s="9">
        <f t="shared" ca="1" si="143"/>
        <v>0</v>
      </c>
      <c r="L329" s="89">
        <f t="shared" ca="1" si="144"/>
        <v>0</v>
      </c>
      <c r="N329" s="9">
        <f t="shared" ca="1" si="145"/>
        <v>0</v>
      </c>
      <c r="O329" s="89">
        <f t="shared" ca="1" si="146"/>
        <v>0</v>
      </c>
      <c r="P329" s="9">
        <f t="shared" ca="1" si="147"/>
        <v>0</v>
      </c>
      <c r="Q329" s="89">
        <f t="shared" ca="1" si="148"/>
        <v>0</v>
      </c>
      <c r="R329" s="9">
        <f t="shared" ca="1" si="149"/>
        <v>0</v>
      </c>
      <c r="S329" s="89">
        <f t="shared" ca="1" si="150"/>
        <v>0</v>
      </c>
      <c r="T329" s="9">
        <f t="shared" ca="1" si="149"/>
        <v>0</v>
      </c>
      <c r="U329" s="89">
        <f t="shared" ca="1" si="151"/>
        <v>0</v>
      </c>
    </row>
    <row r="330" spans="1:21" s="4" customFormat="1" hidden="1" x14ac:dyDescent="0.25">
      <c r="A330" s="4">
        <f t="shared" si="136"/>
        <v>92176</v>
      </c>
      <c r="B330" s="6">
        <f t="shared" si="152"/>
        <v>0</v>
      </c>
      <c r="C330" s="153"/>
      <c r="E330" s="9">
        <f t="shared" ca="1" si="137"/>
        <v>0</v>
      </c>
      <c r="F330" s="89">
        <f t="shared" ca="1" si="138"/>
        <v>0</v>
      </c>
      <c r="G330" s="9">
        <f t="shared" ca="1" si="139"/>
        <v>0</v>
      </c>
      <c r="H330" s="89">
        <f t="shared" ca="1" si="140"/>
        <v>0</v>
      </c>
      <c r="I330" s="9">
        <f t="shared" ca="1" si="141"/>
        <v>0</v>
      </c>
      <c r="J330" s="89">
        <f t="shared" ca="1" si="142"/>
        <v>0</v>
      </c>
      <c r="K330" s="9">
        <f t="shared" ca="1" si="143"/>
        <v>0</v>
      </c>
      <c r="L330" s="89">
        <f t="shared" ca="1" si="144"/>
        <v>0</v>
      </c>
      <c r="N330" s="9">
        <f t="shared" ca="1" si="145"/>
        <v>0</v>
      </c>
      <c r="O330" s="89">
        <f t="shared" ca="1" si="146"/>
        <v>0</v>
      </c>
      <c r="P330" s="9">
        <f t="shared" ca="1" si="147"/>
        <v>0</v>
      </c>
      <c r="Q330" s="89">
        <f t="shared" ca="1" si="148"/>
        <v>0</v>
      </c>
      <c r="R330" s="9">
        <f t="shared" ca="1" si="149"/>
        <v>0</v>
      </c>
      <c r="S330" s="89">
        <f t="shared" ca="1" si="150"/>
        <v>0</v>
      </c>
      <c r="T330" s="9">
        <f t="shared" ca="1" si="149"/>
        <v>0</v>
      </c>
      <c r="U330" s="89">
        <f t="shared" ca="1" si="151"/>
        <v>0</v>
      </c>
    </row>
    <row r="331" spans="1:21" s="4" customFormat="1" hidden="1" x14ac:dyDescent="0.25">
      <c r="A331" s="4">
        <f t="shared" si="136"/>
        <v>92177</v>
      </c>
      <c r="B331" s="6">
        <f t="shared" si="152"/>
        <v>0</v>
      </c>
      <c r="C331" s="153"/>
      <c r="E331" s="9">
        <f t="shared" ca="1" si="137"/>
        <v>0</v>
      </c>
      <c r="F331" s="89">
        <f t="shared" ca="1" si="138"/>
        <v>0</v>
      </c>
      <c r="G331" s="9">
        <f t="shared" ca="1" si="139"/>
        <v>0</v>
      </c>
      <c r="H331" s="89">
        <f t="shared" ca="1" si="140"/>
        <v>0</v>
      </c>
      <c r="I331" s="9">
        <f t="shared" ca="1" si="141"/>
        <v>0</v>
      </c>
      <c r="J331" s="89">
        <f t="shared" ca="1" si="142"/>
        <v>0</v>
      </c>
      <c r="K331" s="9">
        <f t="shared" ca="1" si="143"/>
        <v>0</v>
      </c>
      <c r="L331" s="89">
        <f t="shared" ca="1" si="144"/>
        <v>0</v>
      </c>
      <c r="N331" s="9">
        <f t="shared" ca="1" si="145"/>
        <v>0</v>
      </c>
      <c r="O331" s="89">
        <f t="shared" ca="1" si="146"/>
        <v>0</v>
      </c>
      <c r="P331" s="9">
        <f t="shared" ca="1" si="147"/>
        <v>0</v>
      </c>
      <c r="Q331" s="89">
        <f t="shared" ca="1" si="148"/>
        <v>0</v>
      </c>
      <c r="R331" s="9">
        <f t="shared" ca="1" si="149"/>
        <v>0</v>
      </c>
      <c r="S331" s="89">
        <f t="shared" ca="1" si="150"/>
        <v>0</v>
      </c>
      <c r="T331" s="9">
        <f t="shared" ca="1" si="149"/>
        <v>0</v>
      </c>
      <c r="U331" s="89">
        <f t="shared" ca="1" si="151"/>
        <v>0</v>
      </c>
    </row>
    <row r="332" spans="1:21" s="4" customFormat="1" hidden="1" x14ac:dyDescent="0.25">
      <c r="A332" s="4">
        <f t="shared" si="136"/>
        <v>92178</v>
      </c>
      <c r="B332" s="6">
        <f t="shared" si="152"/>
        <v>0</v>
      </c>
      <c r="C332" s="153"/>
      <c r="E332" s="9">
        <f t="shared" ca="1" si="137"/>
        <v>0</v>
      </c>
      <c r="F332" s="89">
        <f t="shared" ca="1" si="138"/>
        <v>0</v>
      </c>
      <c r="G332" s="9">
        <f t="shared" ca="1" si="139"/>
        <v>0</v>
      </c>
      <c r="H332" s="89">
        <f t="shared" ca="1" si="140"/>
        <v>0</v>
      </c>
      <c r="I332" s="9">
        <f t="shared" ca="1" si="141"/>
        <v>0</v>
      </c>
      <c r="J332" s="89">
        <f t="shared" ca="1" si="142"/>
        <v>0</v>
      </c>
      <c r="K332" s="9">
        <f t="shared" ca="1" si="143"/>
        <v>0</v>
      </c>
      <c r="L332" s="89">
        <f t="shared" ca="1" si="144"/>
        <v>0</v>
      </c>
      <c r="N332" s="9">
        <f t="shared" ca="1" si="145"/>
        <v>0</v>
      </c>
      <c r="O332" s="89">
        <f t="shared" ca="1" si="146"/>
        <v>0</v>
      </c>
      <c r="P332" s="9">
        <f t="shared" ca="1" si="147"/>
        <v>0</v>
      </c>
      <c r="Q332" s="89">
        <f t="shared" ca="1" si="148"/>
        <v>0</v>
      </c>
      <c r="R332" s="9">
        <f t="shared" ca="1" si="149"/>
        <v>0</v>
      </c>
      <c r="S332" s="89">
        <f t="shared" ca="1" si="150"/>
        <v>0</v>
      </c>
      <c r="T332" s="9">
        <f t="shared" ca="1" si="149"/>
        <v>0</v>
      </c>
      <c r="U332" s="89">
        <f t="shared" ca="1" si="151"/>
        <v>0</v>
      </c>
    </row>
    <row r="333" spans="1:21" s="4" customFormat="1" hidden="1" x14ac:dyDescent="0.25">
      <c r="A333" s="4">
        <f t="shared" si="136"/>
        <v>92179</v>
      </c>
      <c r="B333" s="6">
        <f t="shared" si="152"/>
        <v>0</v>
      </c>
      <c r="C333" s="153"/>
      <c r="E333" s="9">
        <f t="shared" ca="1" si="137"/>
        <v>0</v>
      </c>
      <c r="F333" s="89">
        <f t="shared" ca="1" si="138"/>
        <v>0</v>
      </c>
      <c r="G333" s="9">
        <f t="shared" ca="1" si="139"/>
        <v>0</v>
      </c>
      <c r="H333" s="89">
        <f t="shared" ca="1" si="140"/>
        <v>0</v>
      </c>
      <c r="I333" s="9">
        <f t="shared" ca="1" si="141"/>
        <v>0</v>
      </c>
      <c r="J333" s="89">
        <f t="shared" ca="1" si="142"/>
        <v>0</v>
      </c>
      <c r="K333" s="9">
        <f t="shared" ca="1" si="143"/>
        <v>0</v>
      </c>
      <c r="L333" s="89">
        <f t="shared" ca="1" si="144"/>
        <v>0</v>
      </c>
      <c r="N333" s="9">
        <f t="shared" ca="1" si="145"/>
        <v>0</v>
      </c>
      <c r="O333" s="89">
        <f t="shared" ca="1" si="146"/>
        <v>0</v>
      </c>
      <c r="P333" s="9">
        <f t="shared" ca="1" si="147"/>
        <v>0</v>
      </c>
      <c r="Q333" s="89">
        <f t="shared" ca="1" si="148"/>
        <v>0</v>
      </c>
      <c r="R333" s="9">
        <f t="shared" ca="1" si="149"/>
        <v>0</v>
      </c>
      <c r="S333" s="89">
        <f t="shared" ca="1" si="150"/>
        <v>0</v>
      </c>
      <c r="T333" s="9">
        <f t="shared" ca="1" si="149"/>
        <v>0</v>
      </c>
      <c r="U333" s="89">
        <f t="shared" ca="1" si="151"/>
        <v>0</v>
      </c>
    </row>
    <row r="334" spans="1:21" s="4" customFormat="1" hidden="1" x14ac:dyDescent="0.25">
      <c r="A334" s="58">
        <f t="shared" si="136"/>
        <v>92180</v>
      </c>
      <c r="B334" s="6">
        <f t="shared" si="152"/>
        <v>0</v>
      </c>
      <c r="C334" s="153"/>
      <c r="E334" s="9">
        <f t="shared" ca="1" si="137"/>
        <v>0</v>
      </c>
      <c r="F334" s="89">
        <f t="shared" ca="1" si="138"/>
        <v>0</v>
      </c>
      <c r="G334" s="9">
        <f t="shared" ca="1" si="139"/>
        <v>0</v>
      </c>
      <c r="H334" s="89">
        <f t="shared" ca="1" si="140"/>
        <v>0</v>
      </c>
      <c r="I334" s="9">
        <f t="shared" ca="1" si="141"/>
        <v>0</v>
      </c>
      <c r="J334" s="89">
        <f t="shared" ca="1" si="142"/>
        <v>0</v>
      </c>
      <c r="K334" s="9">
        <f t="shared" ca="1" si="143"/>
        <v>0</v>
      </c>
      <c r="L334" s="89">
        <f t="shared" ca="1" si="144"/>
        <v>0</v>
      </c>
      <c r="N334" s="9">
        <f t="shared" ca="1" si="145"/>
        <v>0</v>
      </c>
      <c r="O334" s="89">
        <f t="shared" ca="1" si="146"/>
        <v>0</v>
      </c>
      <c r="P334" s="9">
        <f t="shared" ca="1" si="147"/>
        <v>0</v>
      </c>
      <c r="Q334" s="89">
        <f t="shared" ca="1" si="148"/>
        <v>0</v>
      </c>
      <c r="R334" s="9">
        <f t="shared" ca="1" si="149"/>
        <v>0</v>
      </c>
      <c r="S334" s="89">
        <f t="shared" ca="1" si="150"/>
        <v>0</v>
      </c>
      <c r="T334" s="9">
        <f t="shared" ca="1" si="149"/>
        <v>0</v>
      </c>
      <c r="U334" s="89">
        <f t="shared" ca="1" si="151"/>
        <v>0</v>
      </c>
    </row>
    <row r="335" spans="1:21" s="4" customFormat="1" hidden="1" x14ac:dyDescent="0.25">
      <c r="A335" s="58">
        <f t="shared" si="136"/>
        <v>92181</v>
      </c>
      <c r="B335" s="6">
        <f t="shared" si="152"/>
        <v>0</v>
      </c>
      <c r="C335" s="153"/>
      <c r="E335" s="9">
        <f t="shared" ca="1" si="137"/>
        <v>0</v>
      </c>
      <c r="F335" s="89">
        <f t="shared" ca="1" si="138"/>
        <v>0</v>
      </c>
      <c r="G335" s="9">
        <f t="shared" ca="1" si="139"/>
        <v>0</v>
      </c>
      <c r="H335" s="89">
        <f t="shared" ca="1" si="140"/>
        <v>0</v>
      </c>
      <c r="I335" s="9">
        <f t="shared" ca="1" si="141"/>
        <v>0</v>
      </c>
      <c r="J335" s="89">
        <f t="shared" ca="1" si="142"/>
        <v>0</v>
      </c>
      <c r="K335" s="9">
        <f t="shared" ca="1" si="143"/>
        <v>0</v>
      </c>
      <c r="L335" s="89">
        <f t="shared" ca="1" si="144"/>
        <v>0</v>
      </c>
      <c r="N335" s="9">
        <f t="shared" ca="1" si="145"/>
        <v>0</v>
      </c>
      <c r="O335" s="89">
        <f t="shared" ca="1" si="146"/>
        <v>0</v>
      </c>
      <c r="P335" s="9">
        <f t="shared" ca="1" si="147"/>
        <v>0</v>
      </c>
      <c r="Q335" s="89">
        <f t="shared" ca="1" si="148"/>
        <v>0</v>
      </c>
      <c r="R335" s="9">
        <f t="shared" ca="1" si="149"/>
        <v>0</v>
      </c>
      <c r="S335" s="89">
        <f t="shared" ca="1" si="150"/>
        <v>0</v>
      </c>
      <c r="T335" s="9">
        <f t="shared" ca="1" si="149"/>
        <v>0</v>
      </c>
      <c r="U335" s="89">
        <f t="shared" ca="1" si="151"/>
        <v>0</v>
      </c>
    </row>
    <row r="336" spans="1:21" s="4" customFormat="1" x14ac:dyDescent="0.25">
      <c r="A336" s="4">
        <f t="shared" si="136"/>
        <v>92182</v>
      </c>
      <c r="B336" s="6" t="str">
        <f t="shared" si="152"/>
        <v>S</v>
      </c>
      <c r="C336" s="153"/>
      <c r="E336" s="9">
        <f t="shared" ca="1" si="137"/>
        <v>0</v>
      </c>
      <c r="F336" s="89">
        <f t="shared" ca="1" si="138"/>
        <v>0</v>
      </c>
      <c r="G336" s="9">
        <f t="shared" ca="1" si="139"/>
        <v>0</v>
      </c>
      <c r="H336" s="89">
        <f t="shared" ca="1" si="140"/>
        <v>0</v>
      </c>
      <c r="I336" s="9">
        <f t="shared" ca="1" si="141"/>
        <v>0</v>
      </c>
      <c r="J336" s="89">
        <f t="shared" ca="1" si="142"/>
        <v>0</v>
      </c>
      <c r="K336" s="9">
        <f t="shared" ca="1" si="143"/>
        <v>0</v>
      </c>
      <c r="L336" s="89">
        <f t="shared" ca="1" si="144"/>
        <v>0</v>
      </c>
      <c r="N336" s="9">
        <f t="shared" ca="1" si="145"/>
        <v>0</v>
      </c>
      <c r="O336" s="89">
        <f t="shared" ca="1" si="146"/>
        <v>0</v>
      </c>
      <c r="P336" s="9">
        <f t="shared" ca="1" si="147"/>
        <v>1</v>
      </c>
      <c r="Q336" s="89">
        <f t="shared" ca="1" si="148"/>
        <v>8522500</v>
      </c>
      <c r="R336" s="9">
        <f t="shared" ca="1" si="149"/>
        <v>0</v>
      </c>
      <c r="S336" s="89">
        <f t="shared" ca="1" si="150"/>
        <v>0</v>
      </c>
      <c r="T336" s="9">
        <f t="shared" ca="1" si="149"/>
        <v>0</v>
      </c>
      <c r="U336" s="89">
        <f t="shared" ca="1" si="151"/>
        <v>0</v>
      </c>
    </row>
    <row r="337" spans="1:21" s="4" customFormat="1" hidden="1" x14ac:dyDescent="0.25">
      <c r="A337" s="58">
        <f t="shared" si="136"/>
        <v>92183</v>
      </c>
      <c r="B337" s="6">
        <f t="shared" si="152"/>
        <v>0</v>
      </c>
      <c r="C337" s="153"/>
      <c r="E337" s="9">
        <f t="shared" ca="1" si="137"/>
        <v>0</v>
      </c>
      <c r="F337" s="89">
        <f t="shared" ca="1" si="138"/>
        <v>0</v>
      </c>
      <c r="G337" s="9">
        <f t="shared" ca="1" si="139"/>
        <v>0</v>
      </c>
      <c r="H337" s="89">
        <f t="shared" ca="1" si="140"/>
        <v>0</v>
      </c>
      <c r="I337" s="9">
        <f t="shared" ca="1" si="141"/>
        <v>0</v>
      </c>
      <c r="J337" s="89">
        <f t="shared" ca="1" si="142"/>
        <v>0</v>
      </c>
      <c r="K337" s="9">
        <f t="shared" ca="1" si="143"/>
        <v>0</v>
      </c>
      <c r="L337" s="89">
        <f t="shared" ca="1" si="144"/>
        <v>0</v>
      </c>
      <c r="N337" s="9">
        <f t="shared" ca="1" si="145"/>
        <v>0</v>
      </c>
      <c r="O337" s="89">
        <f t="shared" ca="1" si="146"/>
        <v>0</v>
      </c>
      <c r="P337" s="9">
        <f t="shared" ca="1" si="147"/>
        <v>0</v>
      </c>
      <c r="Q337" s="89">
        <f t="shared" ca="1" si="148"/>
        <v>0</v>
      </c>
      <c r="R337" s="9">
        <f t="shared" ca="1" si="149"/>
        <v>0</v>
      </c>
      <c r="S337" s="89">
        <f t="shared" ca="1" si="150"/>
        <v>0</v>
      </c>
      <c r="T337" s="9">
        <f t="shared" ca="1" si="149"/>
        <v>0</v>
      </c>
      <c r="U337" s="89">
        <f t="shared" ca="1" si="151"/>
        <v>0</v>
      </c>
    </row>
    <row r="338" spans="1:21" s="4" customFormat="1" hidden="1" x14ac:dyDescent="0.25">
      <c r="A338" s="58">
        <f t="shared" si="136"/>
        <v>92184</v>
      </c>
      <c r="B338" s="6">
        <f t="shared" si="152"/>
        <v>0</v>
      </c>
      <c r="C338" s="153"/>
      <c r="E338" s="9">
        <f t="shared" ca="1" si="137"/>
        <v>0</v>
      </c>
      <c r="F338" s="89">
        <f t="shared" ca="1" si="138"/>
        <v>0</v>
      </c>
      <c r="G338" s="9">
        <f t="shared" ca="1" si="139"/>
        <v>0</v>
      </c>
      <c r="H338" s="89">
        <f t="shared" ca="1" si="140"/>
        <v>0</v>
      </c>
      <c r="I338" s="9">
        <f t="shared" ca="1" si="141"/>
        <v>0</v>
      </c>
      <c r="J338" s="89">
        <f t="shared" ca="1" si="142"/>
        <v>0</v>
      </c>
      <c r="K338" s="9">
        <f t="shared" ca="1" si="143"/>
        <v>0</v>
      </c>
      <c r="L338" s="89">
        <f t="shared" ca="1" si="144"/>
        <v>0</v>
      </c>
      <c r="N338" s="9">
        <f t="shared" ca="1" si="145"/>
        <v>0</v>
      </c>
      <c r="O338" s="89">
        <f t="shared" ca="1" si="146"/>
        <v>0</v>
      </c>
      <c r="P338" s="9">
        <f t="shared" ca="1" si="147"/>
        <v>0</v>
      </c>
      <c r="Q338" s="89">
        <f t="shared" ca="1" si="148"/>
        <v>0</v>
      </c>
      <c r="R338" s="9">
        <f t="shared" ca="1" si="149"/>
        <v>0</v>
      </c>
      <c r="S338" s="89">
        <f t="shared" ca="1" si="150"/>
        <v>0</v>
      </c>
      <c r="T338" s="9">
        <f t="shared" ca="1" si="149"/>
        <v>0</v>
      </c>
      <c r="U338" s="89">
        <f t="shared" ca="1" si="151"/>
        <v>0</v>
      </c>
    </row>
    <row r="339" spans="1:21" s="4" customFormat="1" hidden="1" x14ac:dyDescent="0.25">
      <c r="A339" s="58">
        <f t="shared" si="136"/>
        <v>92185</v>
      </c>
      <c r="B339" s="6">
        <f t="shared" si="152"/>
        <v>0</v>
      </c>
      <c r="C339" s="153"/>
      <c r="E339" s="9">
        <f t="shared" ca="1" si="137"/>
        <v>0</v>
      </c>
      <c r="F339" s="89">
        <f t="shared" ca="1" si="138"/>
        <v>0</v>
      </c>
      <c r="G339" s="9">
        <f t="shared" ca="1" si="139"/>
        <v>0</v>
      </c>
      <c r="H339" s="89">
        <f t="shared" ca="1" si="140"/>
        <v>0</v>
      </c>
      <c r="I339" s="9">
        <f t="shared" ca="1" si="141"/>
        <v>0</v>
      </c>
      <c r="J339" s="89">
        <f t="shared" ca="1" si="142"/>
        <v>0</v>
      </c>
      <c r="K339" s="9">
        <f t="shared" ca="1" si="143"/>
        <v>0</v>
      </c>
      <c r="L339" s="89">
        <f t="shared" ca="1" si="144"/>
        <v>0</v>
      </c>
      <c r="N339" s="9">
        <f t="shared" ca="1" si="145"/>
        <v>0</v>
      </c>
      <c r="O339" s="89">
        <f t="shared" ca="1" si="146"/>
        <v>0</v>
      </c>
      <c r="P339" s="9">
        <f t="shared" ca="1" si="147"/>
        <v>0</v>
      </c>
      <c r="Q339" s="89">
        <f t="shared" ca="1" si="148"/>
        <v>0</v>
      </c>
      <c r="R339" s="9">
        <f t="shared" ca="1" si="149"/>
        <v>0</v>
      </c>
      <c r="S339" s="89">
        <f t="shared" ca="1" si="150"/>
        <v>0</v>
      </c>
      <c r="T339" s="9">
        <f t="shared" ca="1" si="149"/>
        <v>0</v>
      </c>
      <c r="U339" s="89">
        <f t="shared" ca="1" si="151"/>
        <v>0</v>
      </c>
    </row>
    <row r="340" spans="1:21" s="4" customFormat="1" hidden="1" x14ac:dyDescent="0.25">
      <c r="A340" s="4">
        <f t="shared" si="136"/>
        <v>92186</v>
      </c>
      <c r="B340" s="6">
        <f t="shared" si="152"/>
        <v>0</v>
      </c>
      <c r="C340" s="153"/>
      <c r="E340" s="9">
        <f t="shared" ca="1" si="137"/>
        <v>0</v>
      </c>
      <c r="F340" s="89">
        <f t="shared" ca="1" si="138"/>
        <v>0</v>
      </c>
      <c r="G340" s="9">
        <f t="shared" ca="1" si="139"/>
        <v>0</v>
      </c>
      <c r="H340" s="89">
        <f t="shared" ca="1" si="140"/>
        <v>0</v>
      </c>
      <c r="I340" s="9">
        <f t="shared" ca="1" si="141"/>
        <v>0</v>
      </c>
      <c r="J340" s="89">
        <f t="shared" ca="1" si="142"/>
        <v>0</v>
      </c>
      <c r="K340" s="9">
        <f t="shared" ca="1" si="143"/>
        <v>0</v>
      </c>
      <c r="L340" s="89">
        <f t="shared" ca="1" si="144"/>
        <v>0</v>
      </c>
      <c r="N340" s="9">
        <f t="shared" ca="1" si="145"/>
        <v>0</v>
      </c>
      <c r="O340" s="89">
        <f t="shared" ca="1" si="146"/>
        <v>0</v>
      </c>
      <c r="P340" s="9">
        <f t="shared" ca="1" si="147"/>
        <v>0</v>
      </c>
      <c r="Q340" s="89">
        <f t="shared" ca="1" si="148"/>
        <v>0</v>
      </c>
      <c r="R340" s="9">
        <f t="shared" ca="1" si="149"/>
        <v>0</v>
      </c>
      <c r="S340" s="89">
        <f t="shared" ca="1" si="150"/>
        <v>0</v>
      </c>
      <c r="T340" s="9">
        <f t="shared" ca="1" si="149"/>
        <v>0</v>
      </c>
      <c r="U340" s="89">
        <f t="shared" ca="1" si="151"/>
        <v>0</v>
      </c>
    </row>
    <row r="341" spans="1:21" s="4" customFormat="1" hidden="1" x14ac:dyDescent="0.25">
      <c r="A341" s="4">
        <f t="shared" si="136"/>
        <v>92187</v>
      </c>
      <c r="B341" s="6">
        <f t="shared" si="152"/>
        <v>0</v>
      </c>
      <c r="C341" s="153"/>
      <c r="E341" s="9">
        <f t="shared" ca="1" si="137"/>
        <v>0</v>
      </c>
      <c r="F341" s="89">
        <f t="shared" ca="1" si="138"/>
        <v>0</v>
      </c>
      <c r="G341" s="9">
        <f t="shared" ca="1" si="139"/>
        <v>0</v>
      </c>
      <c r="H341" s="89">
        <f t="shared" ca="1" si="140"/>
        <v>0</v>
      </c>
      <c r="I341" s="9">
        <f t="shared" ca="1" si="141"/>
        <v>0</v>
      </c>
      <c r="J341" s="89">
        <f t="shared" ca="1" si="142"/>
        <v>0</v>
      </c>
      <c r="K341" s="9">
        <f t="shared" ca="1" si="143"/>
        <v>0</v>
      </c>
      <c r="L341" s="89">
        <f t="shared" ca="1" si="144"/>
        <v>0</v>
      </c>
      <c r="N341" s="9">
        <f t="shared" ca="1" si="145"/>
        <v>0</v>
      </c>
      <c r="O341" s="89">
        <f t="shared" ca="1" si="146"/>
        <v>0</v>
      </c>
      <c r="P341" s="9">
        <f t="shared" ca="1" si="147"/>
        <v>0</v>
      </c>
      <c r="Q341" s="89">
        <f t="shared" ca="1" si="148"/>
        <v>0</v>
      </c>
      <c r="R341" s="9">
        <f t="shared" ca="1" si="149"/>
        <v>0</v>
      </c>
      <c r="S341" s="89">
        <f t="shared" ca="1" si="150"/>
        <v>0</v>
      </c>
      <c r="T341" s="9">
        <f t="shared" ca="1" si="149"/>
        <v>0</v>
      </c>
      <c r="U341" s="89">
        <f t="shared" ca="1" si="151"/>
        <v>0</v>
      </c>
    </row>
    <row r="342" spans="1:21" s="4" customFormat="1" hidden="1" x14ac:dyDescent="0.25">
      <c r="A342" s="58">
        <f t="shared" si="136"/>
        <v>92188</v>
      </c>
      <c r="B342" s="6">
        <f t="shared" si="152"/>
        <v>0</v>
      </c>
      <c r="C342" s="153"/>
      <c r="E342" s="9">
        <f t="shared" ca="1" si="137"/>
        <v>0</v>
      </c>
      <c r="F342" s="89">
        <f t="shared" ca="1" si="138"/>
        <v>0</v>
      </c>
      <c r="G342" s="9">
        <f t="shared" ca="1" si="139"/>
        <v>0</v>
      </c>
      <c r="H342" s="89">
        <f t="shared" ca="1" si="140"/>
        <v>0</v>
      </c>
      <c r="I342" s="9">
        <f t="shared" ca="1" si="141"/>
        <v>0</v>
      </c>
      <c r="J342" s="89">
        <f t="shared" ca="1" si="142"/>
        <v>0</v>
      </c>
      <c r="K342" s="9">
        <f t="shared" ca="1" si="143"/>
        <v>0</v>
      </c>
      <c r="L342" s="89">
        <f t="shared" ca="1" si="144"/>
        <v>0</v>
      </c>
      <c r="N342" s="9">
        <f t="shared" ca="1" si="145"/>
        <v>0</v>
      </c>
      <c r="O342" s="89">
        <f t="shared" ca="1" si="146"/>
        <v>0</v>
      </c>
      <c r="P342" s="9">
        <f t="shared" ca="1" si="147"/>
        <v>0</v>
      </c>
      <c r="Q342" s="89">
        <f t="shared" ca="1" si="148"/>
        <v>0</v>
      </c>
      <c r="R342" s="9">
        <f t="shared" ca="1" si="149"/>
        <v>0</v>
      </c>
      <c r="S342" s="89">
        <f t="shared" ca="1" si="150"/>
        <v>0</v>
      </c>
      <c r="T342" s="9">
        <f t="shared" ca="1" si="149"/>
        <v>0</v>
      </c>
      <c r="U342" s="89">
        <f t="shared" ca="1" si="151"/>
        <v>0</v>
      </c>
    </row>
    <row r="343" spans="1:21" s="4" customFormat="1" hidden="1" x14ac:dyDescent="0.25">
      <c r="A343" s="58">
        <f t="shared" si="136"/>
        <v>92189</v>
      </c>
      <c r="B343" s="6">
        <f t="shared" si="152"/>
        <v>0</v>
      </c>
      <c r="C343" s="153"/>
      <c r="E343" s="9">
        <f t="shared" ca="1" si="137"/>
        <v>0</v>
      </c>
      <c r="F343" s="89">
        <f t="shared" ca="1" si="138"/>
        <v>0</v>
      </c>
      <c r="G343" s="9">
        <f t="shared" ca="1" si="139"/>
        <v>0</v>
      </c>
      <c r="H343" s="89">
        <f t="shared" ca="1" si="140"/>
        <v>0</v>
      </c>
      <c r="I343" s="9">
        <f t="shared" ca="1" si="141"/>
        <v>0</v>
      </c>
      <c r="J343" s="89">
        <f t="shared" ca="1" si="142"/>
        <v>0</v>
      </c>
      <c r="K343" s="9">
        <f t="shared" ca="1" si="143"/>
        <v>0</v>
      </c>
      <c r="L343" s="89">
        <f t="shared" ca="1" si="144"/>
        <v>0</v>
      </c>
      <c r="N343" s="9">
        <f t="shared" ca="1" si="145"/>
        <v>0</v>
      </c>
      <c r="O343" s="89">
        <f t="shared" ca="1" si="146"/>
        <v>0</v>
      </c>
      <c r="P343" s="9">
        <f t="shared" ca="1" si="147"/>
        <v>0</v>
      </c>
      <c r="Q343" s="89">
        <f t="shared" ca="1" si="148"/>
        <v>0</v>
      </c>
      <c r="R343" s="9">
        <f t="shared" ca="1" si="149"/>
        <v>0</v>
      </c>
      <c r="S343" s="89">
        <f t="shared" ca="1" si="150"/>
        <v>0</v>
      </c>
      <c r="T343" s="9">
        <f t="shared" ca="1" si="149"/>
        <v>0</v>
      </c>
      <c r="U343" s="89">
        <f t="shared" ca="1" si="151"/>
        <v>0</v>
      </c>
    </row>
    <row r="344" spans="1:21" s="4" customFormat="1" hidden="1" x14ac:dyDescent="0.25">
      <c r="A344" s="4">
        <f t="shared" si="136"/>
        <v>92190</v>
      </c>
      <c r="B344" s="6">
        <f t="shared" si="152"/>
        <v>0</v>
      </c>
      <c r="C344" s="153"/>
      <c r="E344" s="9">
        <f t="shared" ca="1" si="137"/>
        <v>0</v>
      </c>
      <c r="F344" s="89">
        <f t="shared" ca="1" si="138"/>
        <v>0</v>
      </c>
      <c r="G344" s="9">
        <f t="shared" ca="1" si="139"/>
        <v>0</v>
      </c>
      <c r="H344" s="89">
        <f t="shared" ca="1" si="140"/>
        <v>0</v>
      </c>
      <c r="I344" s="9">
        <f t="shared" ca="1" si="141"/>
        <v>0</v>
      </c>
      <c r="J344" s="89">
        <f t="shared" ca="1" si="142"/>
        <v>0</v>
      </c>
      <c r="K344" s="9">
        <f t="shared" ca="1" si="143"/>
        <v>0</v>
      </c>
      <c r="L344" s="89">
        <f t="shared" ca="1" si="144"/>
        <v>0</v>
      </c>
      <c r="N344" s="9">
        <f t="shared" ca="1" si="145"/>
        <v>0</v>
      </c>
      <c r="O344" s="89">
        <f t="shared" ca="1" si="146"/>
        <v>0</v>
      </c>
      <c r="P344" s="9">
        <f t="shared" ca="1" si="147"/>
        <v>0</v>
      </c>
      <c r="Q344" s="89">
        <f t="shared" ca="1" si="148"/>
        <v>0</v>
      </c>
      <c r="R344" s="9">
        <f t="shared" ca="1" si="149"/>
        <v>0</v>
      </c>
      <c r="S344" s="89">
        <f t="shared" ca="1" si="150"/>
        <v>0</v>
      </c>
      <c r="T344" s="9">
        <f t="shared" ca="1" si="149"/>
        <v>0</v>
      </c>
      <c r="U344" s="89">
        <f t="shared" ca="1" si="151"/>
        <v>0</v>
      </c>
    </row>
    <row r="345" spans="1:21" s="4" customFormat="1" hidden="1" x14ac:dyDescent="0.25">
      <c r="A345" s="4">
        <f t="shared" si="136"/>
        <v>92191</v>
      </c>
      <c r="B345" s="6">
        <f t="shared" si="152"/>
        <v>0</v>
      </c>
      <c r="C345" s="153"/>
      <c r="E345" s="9">
        <f t="shared" ca="1" si="137"/>
        <v>0</v>
      </c>
      <c r="F345" s="89">
        <f t="shared" ca="1" si="138"/>
        <v>0</v>
      </c>
      <c r="G345" s="9">
        <f t="shared" ca="1" si="139"/>
        <v>0</v>
      </c>
      <c r="H345" s="89">
        <f t="shared" ca="1" si="140"/>
        <v>0</v>
      </c>
      <c r="I345" s="9">
        <f t="shared" ca="1" si="141"/>
        <v>0</v>
      </c>
      <c r="J345" s="89">
        <f t="shared" ca="1" si="142"/>
        <v>0</v>
      </c>
      <c r="K345" s="9">
        <f t="shared" ca="1" si="143"/>
        <v>0</v>
      </c>
      <c r="L345" s="89">
        <f t="shared" ca="1" si="144"/>
        <v>0</v>
      </c>
      <c r="N345" s="9">
        <f t="shared" ca="1" si="145"/>
        <v>0</v>
      </c>
      <c r="O345" s="89">
        <f t="shared" ca="1" si="146"/>
        <v>0</v>
      </c>
      <c r="P345" s="9">
        <f t="shared" ca="1" si="147"/>
        <v>0</v>
      </c>
      <c r="Q345" s="89">
        <f t="shared" ca="1" si="148"/>
        <v>0</v>
      </c>
      <c r="R345" s="9">
        <f t="shared" ca="1" si="149"/>
        <v>0</v>
      </c>
      <c r="S345" s="89">
        <f t="shared" ca="1" si="150"/>
        <v>0</v>
      </c>
      <c r="T345" s="9">
        <f t="shared" ca="1" si="149"/>
        <v>0</v>
      </c>
      <c r="U345" s="89">
        <f t="shared" ca="1" si="151"/>
        <v>0</v>
      </c>
    </row>
    <row r="346" spans="1:21" s="4" customFormat="1" hidden="1" x14ac:dyDescent="0.25">
      <c r="A346" s="4">
        <f t="shared" si="136"/>
        <v>92192</v>
      </c>
      <c r="B346" s="6">
        <f t="shared" si="152"/>
        <v>0</v>
      </c>
      <c r="C346" s="153"/>
      <c r="E346" s="9">
        <f t="shared" ca="1" si="137"/>
        <v>0</v>
      </c>
      <c r="F346" s="89">
        <f t="shared" ca="1" si="138"/>
        <v>0</v>
      </c>
      <c r="G346" s="9">
        <f t="shared" ca="1" si="139"/>
        <v>0</v>
      </c>
      <c r="H346" s="89">
        <f t="shared" ca="1" si="140"/>
        <v>0</v>
      </c>
      <c r="I346" s="9">
        <f t="shared" ca="1" si="141"/>
        <v>0</v>
      </c>
      <c r="J346" s="89">
        <f t="shared" ca="1" si="142"/>
        <v>0</v>
      </c>
      <c r="K346" s="9">
        <f t="shared" ca="1" si="143"/>
        <v>0</v>
      </c>
      <c r="L346" s="89">
        <f t="shared" ca="1" si="144"/>
        <v>0</v>
      </c>
      <c r="N346" s="9">
        <f t="shared" ca="1" si="145"/>
        <v>0</v>
      </c>
      <c r="O346" s="89">
        <f t="shared" ca="1" si="146"/>
        <v>0</v>
      </c>
      <c r="P346" s="9">
        <f t="shared" ca="1" si="147"/>
        <v>0</v>
      </c>
      <c r="Q346" s="89">
        <f t="shared" ca="1" si="148"/>
        <v>0</v>
      </c>
      <c r="R346" s="9">
        <f t="shared" ca="1" si="149"/>
        <v>0</v>
      </c>
      <c r="S346" s="89">
        <f t="shared" ca="1" si="150"/>
        <v>0</v>
      </c>
      <c r="T346" s="9">
        <f t="shared" ca="1" si="149"/>
        <v>0</v>
      </c>
      <c r="U346" s="89">
        <f t="shared" ca="1" si="151"/>
        <v>0</v>
      </c>
    </row>
    <row r="347" spans="1:21" s="4" customFormat="1" hidden="1" x14ac:dyDescent="0.25">
      <c r="A347" s="4">
        <f t="shared" si="136"/>
        <v>92193</v>
      </c>
      <c r="B347" s="6">
        <f t="shared" si="152"/>
        <v>0</v>
      </c>
      <c r="C347" s="153"/>
      <c r="E347" s="9">
        <f t="shared" ca="1" si="137"/>
        <v>0</v>
      </c>
      <c r="F347" s="89">
        <f t="shared" ca="1" si="138"/>
        <v>0</v>
      </c>
      <c r="G347" s="9">
        <f t="shared" ca="1" si="139"/>
        <v>0</v>
      </c>
      <c r="H347" s="89">
        <f t="shared" ca="1" si="140"/>
        <v>0</v>
      </c>
      <c r="I347" s="9">
        <f t="shared" ca="1" si="141"/>
        <v>0</v>
      </c>
      <c r="J347" s="89">
        <f t="shared" ca="1" si="142"/>
        <v>0</v>
      </c>
      <c r="K347" s="9">
        <f t="shared" ca="1" si="143"/>
        <v>0</v>
      </c>
      <c r="L347" s="89">
        <f t="shared" ca="1" si="144"/>
        <v>0</v>
      </c>
      <c r="N347" s="9">
        <f t="shared" ca="1" si="145"/>
        <v>0</v>
      </c>
      <c r="O347" s="89">
        <f t="shared" ca="1" si="146"/>
        <v>0</v>
      </c>
      <c r="P347" s="9">
        <f t="shared" ca="1" si="147"/>
        <v>0</v>
      </c>
      <c r="Q347" s="89">
        <f t="shared" ca="1" si="148"/>
        <v>0</v>
      </c>
      <c r="R347" s="9">
        <f t="shared" ca="1" si="149"/>
        <v>0</v>
      </c>
      <c r="S347" s="89">
        <f t="shared" ca="1" si="150"/>
        <v>0</v>
      </c>
      <c r="T347" s="9">
        <f t="shared" ca="1" si="149"/>
        <v>0</v>
      </c>
      <c r="U347" s="89">
        <f t="shared" ca="1" si="151"/>
        <v>0</v>
      </c>
    </row>
    <row r="348" spans="1:21" s="4" customFormat="1" hidden="1" x14ac:dyDescent="0.25">
      <c r="A348" s="4">
        <f t="shared" si="136"/>
        <v>92194</v>
      </c>
      <c r="B348" s="6">
        <f t="shared" si="152"/>
        <v>0</v>
      </c>
      <c r="C348" s="153"/>
      <c r="E348" s="9">
        <f t="shared" ca="1" si="137"/>
        <v>0</v>
      </c>
      <c r="F348" s="89">
        <f t="shared" ca="1" si="138"/>
        <v>0</v>
      </c>
      <c r="G348" s="9">
        <f t="shared" ca="1" si="139"/>
        <v>0</v>
      </c>
      <c r="H348" s="89">
        <f t="shared" ca="1" si="140"/>
        <v>0</v>
      </c>
      <c r="I348" s="9">
        <f t="shared" ca="1" si="141"/>
        <v>0</v>
      </c>
      <c r="J348" s="89">
        <f t="shared" ca="1" si="142"/>
        <v>0</v>
      </c>
      <c r="K348" s="9">
        <f t="shared" ca="1" si="143"/>
        <v>0</v>
      </c>
      <c r="L348" s="89">
        <f t="shared" ca="1" si="144"/>
        <v>0</v>
      </c>
      <c r="N348" s="9">
        <f t="shared" ca="1" si="145"/>
        <v>0</v>
      </c>
      <c r="O348" s="89">
        <f t="shared" ca="1" si="146"/>
        <v>0</v>
      </c>
      <c r="P348" s="9">
        <f t="shared" ca="1" si="147"/>
        <v>0</v>
      </c>
      <c r="Q348" s="89">
        <f t="shared" ca="1" si="148"/>
        <v>0</v>
      </c>
      <c r="R348" s="9">
        <f t="shared" ca="1" si="149"/>
        <v>0</v>
      </c>
      <c r="S348" s="89">
        <f t="shared" ca="1" si="150"/>
        <v>0</v>
      </c>
      <c r="T348" s="9">
        <f t="shared" ca="1" si="149"/>
        <v>0</v>
      </c>
      <c r="U348" s="89">
        <f t="shared" ca="1" si="151"/>
        <v>0</v>
      </c>
    </row>
    <row r="349" spans="1:21" s="4" customFormat="1" hidden="1" x14ac:dyDescent="0.25">
      <c r="A349" s="4">
        <f t="shared" ref="A349:A353" si="153">A114</f>
        <v>92195</v>
      </c>
      <c r="B349" s="6">
        <f t="shared" si="152"/>
        <v>0</v>
      </c>
      <c r="C349" s="153"/>
      <c r="E349" s="9">
        <f t="shared" ca="1" si="137"/>
        <v>0</v>
      </c>
      <c r="F349" s="89">
        <f ca="1">SUMIFS(Site_Sum_W,Map_Sym,E$251,ZIP_5,$A349)</f>
        <v>0</v>
      </c>
      <c r="G349" s="9">
        <f t="shared" ca="1" si="139"/>
        <v>0</v>
      </c>
      <c r="H349" s="89">
        <f ca="1">SUMIFS(Site_Sum_W,Map_Sym,G$251,ZIP_5,$A349)</f>
        <v>0</v>
      </c>
      <c r="I349" s="9">
        <f t="shared" ca="1" si="141"/>
        <v>0</v>
      </c>
      <c r="J349" s="89">
        <f ca="1">SUMIFS(Site_Sum_W,Map_Sym,I$251,ZIP_5,$A349)</f>
        <v>0</v>
      </c>
      <c r="K349" s="9">
        <f t="shared" ca="1" si="143"/>
        <v>0</v>
      </c>
      <c r="L349" s="89">
        <f ca="1">SUMIFS(Site_Sum_W,Map_Sym,K$251,ZIP_5,$A349)</f>
        <v>0</v>
      </c>
      <c r="N349" s="9">
        <f t="shared" ca="1" si="145"/>
        <v>0</v>
      </c>
      <c r="O349" s="89">
        <f ca="1">SUMIFS(Site_Sum_W,Map_Sym,N$251,ZIP_5,$A349)</f>
        <v>0</v>
      </c>
      <c r="P349" s="9">
        <f t="shared" ca="1" si="147"/>
        <v>0</v>
      </c>
      <c r="Q349" s="89">
        <f ca="1">SUMIFS(Site_Sum_W,Map_Sym,P$251,ZIP_5,$A349)</f>
        <v>0</v>
      </c>
      <c r="R349" s="9">
        <f t="shared" ca="1" si="149"/>
        <v>0</v>
      </c>
      <c r="S349" s="89">
        <f ca="1">SUMIFS(Site_Sum_W,Map_Sym,R$251,ZIP_5,$A349)</f>
        <v>0</v>
      </c>
      <c r="T349" s="9">
        <f t="shared" ca="1" si="149"/>
        <v>0</v>
      </c>
      <c r="U349" s="89">
        <f ca="1">SUMIFS(Site_Sum_W,Map_Sym,T$251,ZIP_5,$A349)</f>
        <v>0</v>
      </c>
    </row>
    <row r="350" spans="1:21" s="4" customFormat="1" hidden="1" x14ac:dyDescent="0.25">
      <c r="A350" s="4">
        <f t="shared" si="153"/>
        <v>92196</v>
      </c>
      <c r="B350" s="6">
        <f t="shared" si="152"/>
        <v>0</v>
      </c>
      <c r="C350" s="153"/>
      <c r="E350" s="9">
        <f t="shared" ca="1" si="137"/>
        <v>0</v>
      </c>
      <c r="F350" s="89">
        <f ca="1">SUMIFS(Site_Sum_W,Map_Sym,E$251,ZIP_5,$A350)</f>
        <v>0</v>
      </c>
      <c r="G350" s="9">
        <f t="shared" ca="1" si="139"/>
        <v>0</v>
      </c>
      <c r="H350" s="89">
        <f ca="1">SUMIFS(Site_Sum_W,Map_Sym,G$251,ZIP_5,$A350)</f>
        <v>0</v>
      </c>
      <c r="I350" s="9">
        <f t="shared" ca="1" si="141"/>
        <v>0</v>
      </c>
      <c r="J350" s="89">
        <f ca="1">SUMIFS(Site_Sum_W,Map_Sym,I$251,ZIP_5,$A350)</f>
        <v>0</v>
      </c>
      <c r="K350" s="9">
        <f t="shared" ca="1" si="143"/>
        <v>0</v>
      </c>
      <c r="L350" s="89">
        <f ca="1">SUMIFS(Site_Sum_W,Map_Sym,K$251,ZIP_5,$A350)</f>
        <v>0</v>
      </c>
      <c r="N350" s="9">
        <f t="shared" ca="1" si="145"/>
        <v>0</v>
      </c>
      <c r="O350" s="89">
        <f ca="1">SUMIFS(Site_Sum_W,Map_Sym,N$251,ZIP_5,$A350)</f>
        <v>0</v>
      </c>
      <c r="P350" s="9">
        <f t="shared" ca="1" si="147"/>
        <v>0</v>
      </c>
      <c r="Q350" s="89">
        <f ca="1">SUMIFS(Site_Sum_W,Map_Sym,P$251,ZIP_5,$A350)</f>
        <v>0</v>
      </c>
      <c r="R350" s="9">
        <f t="shared" ca="1" si="149"/>
        <v>0</v>
      </c>
      <c r="S350" s="89">
        <f ca="1">SUMIFS(Site_Sum_W,Map_Sym,R$251,ZIP_5,$A350)</f>
        <v>0</v>
      </c>
      <c r="T350" s="9">
        <f t="shared" ca="1" si="149"/>
        <v>0</v>
      </c>
      <c r="U350" s="89">
        <f ca="1">SUMIFS(Site_Sum_W,Map_Sym,T$251,ZIP_5,$A350)</f>
        <v>0</v>
      </c>
    </row>
    <row r="351" spans="1:21" s="4" customFormat="1" hidden="1" x14ac:dyDescent="0.25">
      <c r="A351" s="4">
        <f t="shared" si="153"/>
        <v>92197</v>
      </c>
      <c r="B351" s="6">
        <f t="shared" si="152"/>
        <v>0</v>
      </c>
      <c r="C351" s="153"/>
      <c r="E351" s="9">
        <f t="shared" ca="1" si="137"/>
        <v>0</v>
      </c>
      <c r="F351" s="89">
        <f ca="1">SUMIFS(Site_Sum_W,Map_Sym,E$251,ZIP_5,$A351)</f>
        <v>0</v>
      </c>
      <c r="G351" s="9">
        <f t="shared" ca="1" si="139"/>
        <v>0</v>
      </c>
      <c r="H351" s="89">
        <f ca="1">SUMIFS(Site_Sum_W,Map_Sym,G$251,ZIP_5,$A351)</f>
        <v>0</v>
      </c>
      <c r="I351" s="9">
        <f t="shared" ca="1" si="141"/>
        <v>0</v>
      </c>
      <c r="J351" s="89">
        <f ca="1">SUMIFS(Site_Sum_W,Map_Sym,I$251,ZIP_5,$A351)</f>
        <v>0</v>
      </c>
      <c r="K351" s="9">
        <f t="shared" ca="1" si="143"/>
        <v>0</v>
      </c>
      <c r="L351" s="89">
        <f ca="1">SUMIFS(Site_Sum_W,Map_Sym,K$251,ZIP_5,$A351)</f>
        <v>0</v>
      </c>
      <c r="N351" s="9">
        <f t="shared" ca="1" si="145"/>
        <v>0</v>
      </c>
      <c r="O351" s="89">
        <f ca="1">SUMIFS(Site_Sum_W,Map_Sym,N$251,ZIP_5,$A351)</f>
        <v>0</v>
      </c>
      <c r="P351" s="9">
        <f t="shared" ca="1" si="147"/>
        <v>0</v>
      </c>
      <c r="Q351" s="89">
        <f ca="1">SUMIFS(Site_Sum_W,Map_Sym,P$251,ZIP_5,$A351)</f>
        <v>0</v>
      </c>
      <c r="R351" s="9">
        <f t="shared" ca="1" si="149"/>
        <v>0</v>
      </c>
      <c r="S351" s="89">
        <f ca="1">SUMIFS(Site_Sum_W,Map_Sym,R$251,ZIP_5,$A351)</f>
        <v>0</v>
      </c>
      <c r="T351" s="9">
        <f t="shared" ca="1" si="149"/>
        <v>0</v>
      </c>
      <c r="U351" s="89">
        <f ca="1">SUMIFS(Site_Sum_W,Map_Sym,T$251,ZIP_5,$A351)</f>
        <v>0</v>
      </c>
    </row>
    <row r="352" spans="1:21" s="4" customFormat="1" hidden="1" x14ac:dyDescent="0.25">
      <c r="A352" s="4">
        <f t="shared" si="153"/>
        <v>92198</v>
      </c>
      <c r="B352" s="6">
        <f t="shared" si="152"/>
        <v>0</v>
      </c>
      <c r="C352" s="153"/>
      <c r="E352" s="9">
        <f t="shared" ca="1" si="137"/>
        <v>0</v>
      </c>
      <c r="F352" s="89">
        <f ca="1">SUMIFS(Site_Sum_W,Map_Sym,E$251,ZIP_5,$A352)</f>
        <v>0</v>
      </c>
      <c r="G352" s="9">
        <f t="shared" ca="1" si="139"/>
        <v>0</v>
      </c>
      <c r="H352" s="89">
        <f ca="1">SUMIFS(Site_Sum_W,Map_Sym,G$251,ZIP_5,$A352)</f>
        <v>0</v>
      </c>
      <c r="I352" s="9">
        <f t="shared" ca="1" si="141"/>
        <v>0</v>
      </c>
      <c r="J352" s="89">
        <f ca="1">SUMIFS(Site_Sum_W,Map_Sym,I$251,ZIP_5,$A352)</f>
        <v>0</v>
      </c>
      <c r="K352" s="9">
        <f t="shared" ca="1" si="143"/>
        <v>0</v>
      </c>
      <c r="L352" s="89">
        <f ca="1">SUMIFS(Site_Sum_W,Map_Sym,K$251,ZIP_5,$A352)</f>
        <v>0</v>
      </c>
      <c r="N352" s="9">
        <f t="shared" ca="1" si="145"/>
        <v>0</v>
      </c>
      <c r="O352" s="89">
        <f ca="1">SUMIFS(Site_Sum_W,Map_Sym,N$251,ZIP_5,$A352)</f>
        <v>0</v>
      </c>
      <c r="P352" s="9">
        <f t="shared" ca="1" si="147"/>
        <v>0</v>
      </c>
      <c r="Q352" s="89">
        <f ca="1">SUMIFS(Site_Sum_W,Map_Sym,P$251,ZIP_5,$A352)</f>
        <v>0</v>
      </c>
      <c r="R352" s="9">
        <f t="shared" ca="1" si="149"/>
        <v>0</v>
      </c>
      <c r="S352" s="89">
        <f ca="1">SUMIFS(Site_Sum_W,Map_Sym,R$251,ZIP_5,$A352)</f>
        <v>0</v>
      </c>
      <c r="T352" s="9">
        <f t="shared" ca="1" si="149"/>
        <v>0</v>
      </c>
      <c r="U352" s="89">
        <f ca="1">SUMIFS(Site_Sum_W,Map_Sym,T$251,ZIP_5,$A352)</f>
        <v>0</v>
      </c>
    </row>
    <row r="353" spans="1:25" s="4" customFormat="1" ht="15.75" thickBot="1" x14ac:dyDescent="0.3">
      <c r="A353" s="4">
        <f t="shared" si="153"/>
        <v>92199</v>
      </c>
      <c r="B353" s="6" t="str">
        <f t="shared" si="152"/>
        <v>N</v>
      </c>
      <c r="C353" s="153"/>
      <c r="E353" s="27">
        <f t="shared" ca="1" si="137"/>
        <v>0</v>
      </c>
      <c r="F353" s="90">
        <f ca="1">SUMIFS(Site_Sum_W,Map_Sym,E$251,ZIP_5,$A353)</f>
        <v>0</v>
      </c>
      <c r="G353" s="27">
        <f t="shared" ca="1" si="139"/>
        <v>0</v>
      </c>
      <c r="H353" s="90">
        <f ca="1">SUMIFS(Site_Sum_W,Map_Sym,G$251,ZIP_5,$A353)</f>
        <v>0</v>
      </c>
      <c r="I353" s="27">
        <f t="shared" ca="1" si="141"/>
        <v>0</v>
      </c>
      <c r="J353" s="90">
        <f ca="1">SUMIFS(Site_Sum_W,Map_Sym,I$251,ZIP_5,$A353)</f>
        <v>0</v>
      </c>
      <c r="K353" s="27">
        <f t="shared" ca="1" si="143"/>
        <v>0</v>
      </c>
      <c r="L353" s="90">
        <f ca="1">SUMIFS(Site_Sum_W,Map_Sym,K$251,ZIP_5,$A353)</f>
        <v>0</v>
      </c>
      <c r="N353" s="27">
        <f t="shared" ca="1" si="145"/>
        <v>1</v>
      </c>
      <c r="O353" s="90">
        <f ca="1">SUMIFS(Site_Sum_W,Map_Sym,N$251,ZIP_5,$A353)</f>
        <v>5748000</v>
      </c>
      <c r="P353" s="27">
        <f t="shared" ca="1" si="147"/>
        <v>0</v>
      </c>
      <c r="Q353" s="90">
        <f ca="1">SUMIFS(Site_Sum_W,Map_Sym,P$251,ZIP_5,$A353)</f>
        <v>0</v>
      </c>
      <c r="R353" s="27">
        <f t="shared" ca="1" si="149"/>
        <v>0</v>
      </c>
      <c r="S353" s="90">
        <f ca="1">SUMIFS(Site_Sum_W,Map_Sym,R$251,ZIP_5,$A353)</f>
        <v>0</v>
      </c>
      <c r="T353" s="27">
        <f t="shared" ca="1" si="149"/>
        <v>0</v>
      </c>
      <c r="U353" s="90">
        <f ca="1">SUMIFS(Site_Sum_W,Map_Sym,T$251,ZIP_5,$A353)</f>
        <v>0</v>
      </c>
    </row>
    <row r="354" spans="1:25" ht="15.75" thickBot="1" x14ac:dyDescent="0.3">
      <c r="T354" s="4"/>
      <c r="V354" s="4"/>
      <c r="W354" s="4"/>
      <c r="X354"/>
      <c r="Y354"/>
    </row>
    <row r="355" spans="1:25" ht="15.75" thickBot="1" x14ac:dyDescent="0.3">
      <c r="A355" s="54" t="s">
        <v>75</v>
      </c>
      <c r="B355" s="138"/>
      <c r="C355" s="11"/>
      <c r="D355" s="11"/>
      <c r="E355" s="12">
        <f t="shared" ref="E355:L355" ca="1" si="154">SUM(E253:E354)</f>
        <v>39</v>
      </c>
      <c r="F355" s="91">
        <f t="shared" ca="1" si="154"/>
        <v>132081600</v>
      </c>
      <c r="G355" s="12">
        <f t="shared" ca="1" si="154"/>
        <v>2</v>
      </c>
      <c r="H355" s="91">
        <f t="shared" ca="1" si="154"/>
        <v>69152200</v>
      </c>
      <c r="I355" s="12">
        <f t="shared" ca="1" si="154"/>
        <v>8</v>
      </c>
      <c r="J355" s="91">
        <f t="shared" ca="1" si="154"/>
        <v>59927000</v>
      </c>
      <c r="K355" s="12">
        <f t="shared" ca="1" si="154"/>
        <v>25</v>
      </c>
      <c r="L355" s="91">
        <f t="shared" ca="1" si="154"/>
        <v>57809900</v>
      </c>
      <c r="N355" s="12">
        <f t="shared" ref="N355:S355" ca="1" si="155">SUM(N253:N354)</f>
        <v>11</v>
      </c>
      <c r="O355" s="91">
        <f t="shared" ca="1" si="155"/>
        <v>37236900</v>
      </c>
      <c r="P355" s="12">
        <f t="shared" ca="1" si="155"/>
        <v>11</v>
      </c>
      <c r="Q355" s="91">
        <f t="shared" ca="1" si="155"/>
        <v>28332920</v>
      </c>
      <c r="R355" s="12">
        <f t="shared" ca="1" si="155"/>
        <v>2</v>
      </c>
      <c r="S355" s="91">
        <f t="shared" ca="1" si="155"/>
        <v>2609000</v>
      </c>
      <c r="T355" s="12">
        <f t="shared" ref="T355:U355" ca="1" si="156">SUM(T253:T354)</f>
        <v>1</v>
      </c>
      <c r="U355" s="91">
        <f t="shared" ca="1" si="156"/>
        <v>2586500</v>
      </c>
      <c r="V355" s="4"/>
      <c r="W355" s="4"/>
      <c r="X355"/>
      <c r="Y355"/>
    </row>
  </sheetData>
  <mergeCells count="1">
    <mergeCell ref="A235:A236"/>
  </mergeCells>
  <pageMargins left="0.7" right="0.7" top="0.75" bottom="0.75" header="0.3" footer="0.3"/>
  <pageSetup scale="10" fitToWidth="0" orientation="landscape" r:id="rId1"/>
  <headerFooter>
    <oddHeader>&amp;C&amp;"-,Bold"&amp;14PRP Siting Summary for Large PV Systems in Orange County</oddHeader>
    <oddFooter>&amp;L&amp;F&amp;CClean Coalition for SCE&amp;R&amp;P/&amp;N</oddFooter>
  </headerFooter>
  <colBreaks count="1" manualBreakCount="1">
    <brk id="1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dimension ref="B2:AR351"/>
  <sheetViews>
    <sheetView zoomScaleNormal="100" workbookViewId="0">
      <pane xSplit="6" ySplit="4" topLeftCell="G81" activePane="bottomRight" state="frozen"/>
      <selection pane="topRight" activeCell="G1" sqref="G1"/>
      <selection pane="bottomLeft" activeCell="A5" sqref="A5"/>
      <selection pane="bottomRight" activeCell="B3" sqref="B3"/>
    </sheetView>
  </sheetViews>
  <sheetFormatPr defaultColWidth="8.85546875" defaultRowHeight="15" x14ac:dyDescent="0.25"/>
  <cols>
    <col min="2" max="2" width="16.85546875" customWidth="1"/>
    <col min="3" max="3" width="17.140625" bestFit="1" customWidth="1"/>
    <col min="4" max="4" width="15.140625" bestFit="1" customWidth="1"/>
    <col min="5" max="6" width="21.5703125" bestFit="1" customWidth="1"/>
    <col min="7" max="7" width="15.85546875" bestFit="1" customWidth="1"/>
    <col min="8" max="8" width="16.85546875" customWidth="1"/>
    <col min="9" max="9" width="17.140625" bestFit="1" customWidth="1"/>
    <col min="10" max="10" width="15.140625" bestFit="1" customWidth="1"/>
    <col min="11" max="12" width="21.5703125" bestFit="1" customWidth="1"/>
    <col min="13" max="143" width="8" customWidth="1"/>
    <col min="144" max="308" width="9" customWidth="1"/>
    <col min="309" max="309" width="10.42578125" bestFit="1" customWidth="1"/>
    <col min="310" max="310" width="12.7109375" bestFit="1" customWidth="1"/>
  </cols>
  <sheetData>
    <row r="2" spans="2:12" s="4" customFormat="1" x14ac:dyDescent="0.25">
      <c r="C2" s="173" t="s">
        <v>954</v>
      </c>
      <c r="D2" s="174"/>
      <c r="E2" s="175" t="s">
        <v>287</v>
      </c>
      <c r="F2" s="176"/>
      <c r="H2"/>
      <c r="I2"/>
      <c r="J2"/>
      <c r="K2"/>
      <c r="L2"/>
    </row>
    <row r="3" spans="2:12" s="4" customFormat="1" ht="60" x14ac:dyDescent="0.25">
      <c r="C3" s="133" t="s">
        <v>1099</v>
      </c>
      <c r="D3" s="126" t="s">
        <v>1094</v>
      </c>
      <c r="E3" s="127" t="s">
        <v>1092</v>
      </c>
      <c r="F3" s="128" t="s">
        <v>1093</v>
      </c>
      <c r="H3"/>
      <c r="I3"/>
      <c r="J3"/>
      <c r="K3"/>
      <c r="L3"/>
    </row>
    <row r="4" spans="2:12" s="4" customFormat="1" ht="45" x14ac:dyDescent="0.25">
      <c r="B4" s="4" t="s">
        <v>1005</v>
      </c>
      <c r="C4" s="132" t="s">
        <v>1098</v>
      </c>
      <c r="D4" s="129" t="s">
        <v>1095</v>
      </c>
      <c r="E4" s="130" t="s">
        <v>1096</v>
      </c>
      <c r="F4" s="131" t="s">
        <v>1097</v>
      </c>
      <c r="H4"/>
      <c r="I4"/>
      <c r="J4"/>
      <c r="K4"/>
      <c r="L4"/>
    </row>
    <row r="5" spans="2:12" s="4" customFormat="1" x14ac:dyDescent="0.25">
      <c r="B5" s="4" t="str">
        <f t="shared" ref="B5:B36" si="0">IF(AND(ISTEXT(C5),NOT(C5="Multiple"),NOT(C5="(blank)")),C5,B4)</f>
        <v>Artesian</v>
      </c>
      <c r="C5" s="155" t="str">
        <f t="shared" ref="C5:D24" si="1">C183</f>
        <v>Artesian</v>
      </c>
      <c r="D5" s="124">
        <f t="shared" si="1"/>
        <v>6521000</v>
      </c>
      <c r="E5" s="125">
        <f t="shared" ref="E5:E36" si="2">IF(ISNA(MATCH($C5,$I$182:$AM$182,0)),E183,INDEX($I$188:$AM$188,1,MATCH($C5,$I$182:$AM$182,0)))</f>
        <v>1.23</v>
      </c>
      <c r="F5" s="125">
        <f t="shared" ref="F5:F36" si="3">IF(ISNA(MATCH($C5,$I$182:$AM$182,0)),F183,INDEX($I$189:$AM$189,1,MATCH($C5,$I$182:$AM$182,0)))</f>
        <v>8.18</v>
      </c>
      <c r="H5"/>
      <c r="I5"/>
      <c r="J5"/>
      <c r="K5"/>
      <c r="L5"/>
    </row>
    <row r="6" spans="2:12" s="4" customFormat="1" x14ac:dyDescent="0.25">
      <c r="B6" s="4" t="str">
        <f t="shared" si="0"/>
        <v>Artesian</v>
      </c>
      <c r="C6" s="155">
        <f t="shared" si="1"/>
        <v>1104</v>
      </c>
      <c r="D6" s="124">
        <f t="shared" si="1"/>
        <v>3364000</v>
      </c>
      <c r="E6" s="125">
        <f t="shared" si="2"/>
        <v>0.88</v>
      </c>
      <c r="F6" s="125">
        <f t="shared" si="3"/>
        <v>5.27</v>
      </c>
      <c r="H6"/>
      <c r="I6"/>
      <c r="J6"/>
      <c r="K6"/>
      <c r="L6"/>
    </row>
    <row r="7" spans="2:12" s="4" customFormat="1" x14ac:dyDescent="0.25">
      <c r="B7" s="4" t="str">
        <f t="shared" si="0"/>
        <v>Artesian</v>
      </c>
      <c r="C7" s="155">
        <f t="shared" si="1"/>
        <v>1100</v>
      </c>
      <c r="D7" s="124">
        <f t="shared" si="1"/>
        <v>1393000</v>
      </c>
      <c r="E7" s="125">
        <f t="shared" si="2"/>
        <v>1.23</v>
      </c>
      <c r="F7" s="125">
        <f t="shared" si="3"/>
        <v>8.18</v>
      </c>
      <c r="H7"/>
      <c r="I7"/>
      <c r="J7"/>
      <c r="K7"/>
      <c r="L7"/>
    </row>
    <row r="8" spans="2:12" s="4" customFormat="1" x14ac:dyDescent="0.25">
      <c r="B8" s="4" t="str">
        <f t="shared" si="0"/>
        <v>Artesian</v>
      </c>
      <c r="C8" s="155">
        <f t="shared" si="1"/>
        <v>1102</v>
      </c>
      <c r="D8" s="124">
        <f t="shared" si="1"/>
        <v>1764000</v>
      </c>
      <c r="E8" s="125">
        <f t="shared" si="2"/>
        <v>1.23</v>
      </c>
      <c r="F8" s="125">
        <f t="shared" si="3"/>
        <v>8.17</v>
      </c>
      <c r="H8"/>
      <c r="I8"/>
      <c r="J8"/>
      <c r="K8"/>
      <c r="L8"/>
    </row>
    <row r="9" spans="2:12" s="4" customFormat="1" x14ac:dyDescent="0.25">
      <c r="B9" s="4" t="str">
        <f t="shared" si="0"/>
        <v>Bernardo</v>
      </c>
      <c r="C9" s="155" t="str">
        <f t="shared" si="1"/>
        <v>Bernardo</v>
      </c>
      <c r="D9" s="124">
        <f t="shared" si="1"/>
        <v>22977000</v>
      </c>
      <c r="E9" s="125">
        <f t="shared" si="2"/>
        <v>1.75</v>
      </c>
      <c r="F9" s="125">
        <f t="shared" si="3"/>
        <v>11.65</v>
      </c>
      <c r="H9"/>
      <c r="I9"/>
      <c r="J9"/>
      <c r="K9"/>
      <c r="L9"/>
    </row>
    <row r="10" spans="2:12" s="4" customFormat="1" x14ac:dyDescent="0.25">
      <c r="B10" s="4" t="str">
        <f t="shared" si="0"/>
        <v>Bernardo</v>
      </c>
      <c r="C10" s="155">
        <f t="shared" si="1"/>
        <v>534</v>
      </c>
      <c r="D10" s="124">
        <f t="shared" si="1"/>
        <v>2948000</v>
      </c>
      <c r="E10" s="125">
        <f t="shared" si="2"/>
        <v>1.75</v>
      </c>
      <c r="F10" s="125">
        <f t="shared" si="3"/>
        <v>11.65</v>
      </c>
      <c r="H10"/>
      <c r="I10"/>
      <c r="J10"/>
      <c r="K10"/>
      <c r="L10"/>
    </row>
    <row r="11" spans="2:12" s="4" customFormat="1" x14ac:dyDescent="0.25">
      <c r="B11" s="4" t="str">
        <f t="shared" si="0"/>
        <v>Bernardo</v>
      </c>
      <c r="C11" s="155">
        <f t="shared" si="1"/>
        <v>537</v>
      </c>
      <c r="D11" s="124">
        <f t="shared" si="1"/>
        <v>4330000</v>
      </c>
      <c r="E11" s="125">
        <f t="shared" si="2"/>
        <v>1.46</v>
      </c>
      <c r="F11" s="125">
        <f t="shared" si="3"/>
        <v>9.75</v>
      </c>
      <c r="H11"/>
      <c r="I11"/>
      <c r="J11"/>
      <c r="K11"/>
      <c r="L11"/>
    </row>
    <row r="12" spans="2:12" s="4" customFormat="1" x14ac:dyDescent="0.25">
      <c r="B12" s="4" t="str">
        <f t="shared" si="0"/>
        <v>Bernardo</v>
      </c>
      <c r="C12" s="155">
        <f t="shared" si="1"/>
        <v>292</v>
      </c>
      <c r="D12" s="124">
        <f t="shared" si="1"/>
        <v>1785000</v>
      </c>
      <c r="E12" s="125">
        <f t="shared" si="2"/>
        <v>1.27</v>
      </c>
      <c r="F12" s="125">
        <f t="shared" si="3"/>
        <v>8.4700000000000006</v>
      </c>
      <c r="H12"/>
      <c r="I12"/>
      <c r="J12"/>
      <c r="K12"/>
      <c r="L12"/>
    </row>
    <row r="13" spans="2:12" s="4" customFormat="1" x14ac:dyDescent="0.25">
      <c r="B13" s="4" t="str">
        <f t="shared" si="0"/>
        <v>Bernardo</v>
      </c>
      <c r="C13" s="155">
        <f t="shared" si="1"/>
        <v>543</v>
      </c>
      <c r="D13" s="124">
        <f t="shared" si="1"/>
        <v>7478000</v>
      </c>
      <c r="E13" s="125">
        <f t="shared" si="2"/>
        <v>1.49</v>
      </c>
      <c r="F13" s="125">
        <f t="shared" si="3"/>
        <v>9.9</v>
      </c>
      <c r="H13"/>
      <c r="I13"/>
      <c r="J13"/>
      <c r="K13"/>
      <c r="L13"/>
    </row>
    <row r="14" spans="2:12" s="4" customFormat="1" x14ac:dyDescent="0.25">
      <c r="B14" s="4" t="str">
        <f t="shared" si="0"/>
        <v>Bernardo</v>
      </c>
      <c r="C14" s="155">
        <f t="shared" si="1"/>
        <v>540</v>
      </c>
      <c r="D14" s="124">
        <f t="shared" si="1"/>
        <v>0</v>
      </c>
      <c r="E14" s="125">
        <f t="shared" si="2"/>
        <v>1.44</v>
      </c>
      <c r="F14" s="125">
        <f t="shared" si="3"/>
        <v>9.6</v>
      </c>
      <c r="H14"/>
      <c r="I14"/>
      <c r="J14"/>
      <c r="K14"/>
      <c r="L14"/>
    </row>
    <row r="15" spans="2:12" s="4" customFormat="1" x14ac:dyDescent="0.25">
      <c r="B15" s="4" t="str">
        <f t="shared" si="0"/>
        <v>Bernardo</v>
      </c>
      <c r="C15" s="155">
        <f t="shared" si="1"/>
        <v>577</v>
      </c>
      <c r="D15" s="124">
        <f t="shared" si="1"/>
        <v>3860000</v>
      </c>
      <c r="E15" s="125">
        <f t="shared" si="2"/>
        <v>1.48</v>
      </c>
      <c r="F15" s="125">
        <f t="shared" si="3"/>
        <v>9.9</v>
      </c>
      <c r="H15"/>
      <c r="I15"/>
      <c r="J15"/>
      <c r="K15"/>
      <c r="L15"/>
    </row>
    <row r="16" spans="2:12" s="4" customFormat="1" x14ac:dyDescent="0.25">
      <c r="B16" s="4" t="str">
        <f t="shared" si="0"/>
        <v>Bernardo</v>
      </c>
      <c r="C16" s="155">
        <f t="shared" si="1"/>
        <v>575</v>
      </c>
      <c r="D16" s="124">
        <f t="shared" si="1"/>
        <v>2576000</v>
      </c>
      <c r="E16" s="125">
        <f t="shared" si="2"/>
        <v>1.5</v>
      </c>
      <c r="F16" s="125">
        <f t="shared" si="3"/>
        <v>10</v>
      </c>
      <c r="H16"/>
      <c r="I16"/>
      <c r="J16"/>
      <c r="K16"/>
      <c r="L16"/>
    </row>
    <row r="17" spans="2:12" s="4" customFormat="1" x14ac:dyDescent="0.25">
      <c r="B17" s="4" t="str">
        <f t="shared" si="0"/>
        <v>Border</v>
      </c>
      <c r="C17" s="155" t="str">
        <f t="shared" si="1"/>
        <v>Border</v>
      </c>
      <c r="D17" s="124">
        <f t="shared" si="1"/>
        <v>52590300</v>
      </c>
      <c r="E17" s="125">
        <f t="shared" si="2"/>
        <v>1.46</v>
      </c>
      <c r="F17" s="125">
        <f t="shared" si="3"/>
        <v>9.76</v>
      </c>
      <c r="H17"/>
      <c r="I17"/>
      <c r="J17"/>
      <c r="K17"/>
      <c r="L17"/>
    </row>
    <row r="18" spans="2:12" s="4" customFormat="1" x14ac:dyDescent="0.25">
      <c r="B18" s="4" t="str">
        <f t="shared" si="0"/>
        <v>Border</v>
      </c>
      <c r="C18" s="155">
        <f t="shared" si="1"/>
        <v>533</v>
      </c>
      <c r="D18" s="124">
        <f t="shared" si="1"/>
        <v>30612300</v>
      </c>
      <c r="E18" s="125">
        <f t="shared" si="2"/>
        <v>1.35</v>
      </c>
      <c r="F18" s="125">
        <f t="shared" si="3"/>
        <v>8.99</v>
      </c>
      <c r="H18"/>
      <c r="I18"/>
      <c r="J18"/>
      <c r="K18"/>
      <c r="L18"/>
    </row>
    <row r="19" spans="2:12" x14ac:dyDescent="0.25">
      <c r="B19" s="4" t="str">
        <f t="shared" si="0"/>
        <v>Border</v>
      </c>
      <c r="C19" s="155">
        <f t="shared" si="1"/>
        <v>534</v>
      </c>
      <c r="D19" s="124">
        <f t="shared" si="1"/>
        <v>5629000</v>
      </c>
      <c r="E19" s="125">
        <f t="shared" si="2"/>
        <v>1.03</v>
      </c>
      <c r="F19" s="125">
        <f t="shared" si="3"/>
        <v>6.87</v>
      </c>
    </row>
    <row r="20" spans="2:12" x14ac:dyDescent="0.25">
      <c r="B20" s="4" t="str">
        <f t="shared" si="0"/>
        <v>Border</v>
      </c>
      <c r="C20" s="155">
        <f t="shared" si="1"/>
        <v>535</v>
      </c>
      <c r="D20" s="124">
        <f t="shared" si="1"/>
        <v>5006900</v>
      </c>
      <c r="E20" s="125">
        <f t="shared" si="2"/>
        <v>1.41</v>
      </c>
      <c r="F20" s="125">
        <f t="shared" si="3"/>
        <v>9.4</v>
      </c>
    </row>
    <row r="21" spans="2:12" x14ac:dyDescent="0.25">
      <c r="B21" s="4" t="str">
        <f t="shared" si="0"/>
        <v>Border</v>
      </c>
      <c r="C21" s="155">
        <f t="shared" si="1"/>
        <v>1160</v>
      </c>
      <c r="D21" s="124">
        <f t="shared" si="1"/>
        <v>11342100</v>
      </c>
      <c r="E21" s="125">
        <f t="shared" si="2"/>
        <v>1.46</v>
      </c>
      <c r="F21" s="125">
        <f t="shared" si="3"/>
        <v>9.76</v>
      </c>
    </row>
    <row r="22" spans="2:12" x14ac:dyDescent="0.25">
      <c r="B22" s="4" t="str">
        <f t="shared" si="0"/>
        <v>Chicarita</v>
      </c>
      <c r="C22" s="155" t="str">
        <f t="shared" si="1"/>
        <v>Chicarita</v>
      </c>
      <c r="D22" s="124">
        <f t="shared" si="1"/>
        <v>3514000</v>
      </c>
      <c r="E22" s="125">
        <f t="shared" si="2"/>
        <v>1.08</v>
      </c>
      <c r="F22" s="125">
        <f t="shared" si="3"/>
        <v>7.19</v>
      </c>
    </row>
    <row r="23" spans="2:12" x14ac:dyDescent="0.25">
      <c r="B23" s="4" t="str">
        <f t="shared" si="0"/>
        <v>Chicarita</v>
      </c>
      <c r="C23" s="155">
        <f t="shared" si="1"/>
        <v>500</v>
      </c>
      <c r="D23" s="124">
        <f t="shared" si="1"/>
        <v>2429000</v>
      </c>
      <c r="E23" s="125">
        <f t="shared" si="2"/>
        <v>1.04</v>
      </c>
      <c r="F23" s="125">
        <f t="shared" si="3"/>
        <v>6.91</v>
      </c>
    </row>
    <row r="24" spans="2:12" x14ac:dyDescent="0.25">
      <c r="B24" s="4" t="str">
        <f t="shared" si="0"/>
        <v>Chicarita</v>
      </c>
      <c r="C24" s="155">
        <f t="shared" si="1"/>
        <v>910</v>
      </c>
      <c r="D24" s="124">
        <f t="shared" si="1"/>
        <v>1085000</v>
      </c>
      <c r="E24" s="125">
        <f t="shared" si="2"/>
        <v>1.08</v>
      </c>
      <c r="F24" s="125">
        <f t="shared" si="3"/>
        <v>7.19</v>
      </c>
    </row>
    <row r="25" spans="2:12" x14ac:dyDescent="0.25">
      <c r="B25" s="4" t="str">
        <f t="shared" si="0"/>
        <v>Chollas West</v>
      </c>
      <c r="C25" s="155" t="str">
        <f t="shared" ref="C25:D44" si="4">C203</f>
        <v>Chollas West</v>
      </c>
      <c r="D25" s="124">
        <f t="shared" si="4"/>
        <v>6136000</v>
      </c>
      <c r="E25" s="125">
        <f t="shared" si="2"/>
        <v>1.23</v>
      </c>
      <c r="F25" s="125">
        <f t="shared" si="3"/>
        <v>8.19</v>
      </c>
    </row>
    <row r="26" spans="2:12" x14ac:dyDescent="0.25">
      <c r="B26" s="4" t="str">
        <f t="shared" si="0"/>
        <v>Chollas West</v>
      </c>
      <c r="C26" s="155">
        <f t="shared" si="4"/>
        <v>164</v>
      </c>
      <c r="D26" s="124">
        <f t="shared" si="4"/>
        <v>6136000</v>
      </c>
      <c r="E26" s="125">
        <f t="shared" si="2"/>
        <v>1.23</v>
      </c>
      <c r="F26" s="125">
        <f t="shared" si="3"/>
        <v>8.19</v>
      </c>
    </row>
    <row r="27" spans="2:12" x14ac:dyDescent="0.25">
      <c r="B27" s="4" t="str">
        <f t="shared" si="0"/>
        <v>Clairmont</v>
      </c>
      <c r="C27" s="155" t="str">
        <f t="shared" si="4"/>
        <v>Clairmont</v>
      </c>
      <c r="D27" s="124">
        <f t="shared" si="4"/>
        <v>8546900</v>
      </c>
      <c r="E27" s="125">
        <f t="shared" si="2"/>
        <v>1.32</v>
      </c>
      <c r="F27" s="125">
        <f t="shared" si="3"/>
        <v>8.77</v>
      </c>
    </row>
    <row r="28" spans="2:12" x14ac:dyDescent="0.25">
      <c r="B28" s="4" t="str">
        <f t="shared" si="0"/>
        <v>Clairmont</v>
      </c>
      <c r="C28" s="155">
        <f t="shared" si="4"/>
        <v>274</v>
      </c>
      <c r="D28" s="124">
        <f t="shared" si="4"/>
        <v>6924000</v>
      </c>
      <c r="E28" s="125">
        <f t="shared" si="2"/>
        <v>1.17</v>
      </c>
      <c r="F28" s="125">
        <f t="shared" si="3"/>
        <v>7.78</v>
      </c>
    </row>
    <row r="29" spans="2:12" x14ac:dyDescent="0.25">
      <c r="B29" s="4" t="str">
        <f t="shared" si="0"/>
        <v>Clairmont</v>
      </c>
      <c r="C29" s="155">
        <f t="shared" si="4"/>
        <v>277</v>
      </c>
      <c r="D29" s="124">
        <f t="shared" si="4"/>
        <v>736000</v>
      </c>
      <c r="E29" s="125">
        <f t="shared" si="2"/>
        <v>1.27</v>
      </c>
      <c r="F29" s="125">
        <f t="shared" si="3"/>
        <v>8.4700000000000006</v>
      </c>
    </row>
    <row r="30" spans="2:12" x14ac:dyDescent="0.25">
      <c r="B30" s="4" t="str">
        <f t="shared" si="0"/>
        <v>Clairmont</v>
      </c>
      <c r="C30" s="155">
        <f t="shared" si="4"/>
        <v>279</v>
      </c>
      <c r="D30" s="124">
        <f t="shared" si="4"/>
        <v>886900</v>
      </c>
      <c r="E30" s="125">
        <f t="shared" si="2"/>
        <v>1.32</v>
      </c>
      <c r="F30" s="125">
        <f t="shared" si="3"/>
        <v>8.77</v>
      </c>
    </row>
    <row r="31" spans="2:12" x14ac:dyDescent="0.25">
      <c r="B31" s="4" t="str">
        <f t="shared" si="0"/>
        <v>Division</v>
      </c>
      <c r="C31" s="155" t="str">
        <f t="shared" si="4"/>
        <v>Division</v>
      </c>
      <c r="D31" s="124">
        <f t="shared" si="4"/>
        <v>3666600</v>
      </c>
      <c r="E31" s="125">
        <f t="shared" si="2"/>
        <v>1.5</v>
      </c>
      <c r="F31" s="125">
        <f t="shared" si="3"/>
        <v>10</v>
      </c>
    </row>
    <row r="32" spans="2:12" x14ac:dyDescent="0.25">
      <c r="B32" s="4" t="str">
        <f t="shared" si="0"/>
        <v>Division</v>
      </c>
      <c r="C32" s="155">
        <f t="shared" si="4"/>
        <v>48</v>
      </c>
      <c r="D32" s="124">
        <f t="shared" si="4"/>
        <v>3666600</v>
      </c>
      <c r="E32" s="125">
        <f t="shared" si="2"/>
        <v>1.5</v>
      </c>
      <c r="F32" s="125">
        <f t="shared" si="3"/>
        <v>10</v>
      </c>
    </row>
    <row r="33" spans="2:12" x14ac:dyDescent="0.25">
      <c r="B33" s="4" t="str">
        <f t="shared" si="0"/>
        <v>Eastgate</v>
      </c>
      <c r="C33" s="155" t="str">
        <f t="shared" si="4"/>
        <v>Eastgate</v>
      </c>
      <c r="D33" s="124">
        <f t="shared" si="4"/>
        <v>2572000</v>
      </c>
      <c r="E33" s="125">
        <f t="shared" si="2"/>
        <v>1.5</v>
      </c>
      <c r="F33" s="125">
        <f t="shared" si="3"/>
        <v>10</v>
      </c>
    </row>
    <row r="34" spans="2:12" x14ac:dyDescent="0.25">
      <c r="B34" s="4" t="str">
        <f t="shared" si="0"/>
        <v>Eastgate</v>
      </c>
      <c r="C34" s="155">
        <f t="shared" si="4"/>
        <v>968</v>
      </c>
      <c r="D34" s="124">
        <f t="shared" si="4"/>
        <v>1200000</v>
      </c>
      <c r="E34" s="125">
        <f t="shared" si="2"/>
        <v>1.49</v>
      </c>
      <c r="F34" s="125">
        <f t="shared" si="3"/>
        <v>9.91</v>
      </c>
    </row>
    <row r="35" spans="2:12" x14ac:dyDescent="0.25">
      <c r="B35" s="4" t="str">
        <f t="shared" si="0"/>
        <v>Eastgate</v>
      </c>
      <c r="C35" s="155">
        <f t="shared" si="4"/>
        <v>969</v>
      </c>
      <c r="D35" s="124">
        <f t="shared" si="4"/>
        <v>1372000</v>
      </c>
      <c r="E35" s="125">
        <f t="shared" si="2"/>
        <v>1.5</v>
      </c>
      <c r="F35" s="125">
        <f t="shared" si="3"/>
        <v>10</v>
      </c>
    </row>
    <row r="36" spans="2:12" x14ac:dyDescent="0.25">
      <c r="B36" s="4" t="str">
        <f t="shared" si="0"/>
        <v>Elliot</v>
      </c>
      <c r="C36" s="155" t="str">
        <f t="shared" si="4"/>
        <v>Elliot</v>
      </c>
      <c r="D36" s="124">
        <f t="shared" si="4"/>
        <v>3613000</v>
      </c>
      <c r="E36" s="125">
        <f t="shared" si="2"/>
        <v>1.32</v>
      </c>
      <c r="F36" s="125">
        <f t="shared" si="3"/>
        <v>8.77</v>
      </c>
    </row>
    <row r="37" spans="2:12" x14ac:dyDescent="0.25">
      <c r="B37" s="4" t="str">
        <f t="shared" ref="B37:B68" si="5">IF(AND(ISTEXT(C37),NOT(C37="Multiple"),NOT(C37="(blank)")),C37,B36)</f>
        <v>Elliot</v>
      </c>
      <c r="C37" s="155">
        <f t="shared" si="4"/>
        <v>385</v>
      </c>
      <c r="D37" s="124">
        <f t="shared" si="4"/>
        <v>3613000</v>
      </c>
      <c r="E37" s="125">
        <f t="shared" ref="E37:E68" si="6">IF(ISNA(MATCH($C37,$I$182:$AM$182,0)),E215,INDEX($I$188:$AM$188,1,MATCH($C37,$I$182:$AM$182,0)))</f>
        <v>1.32</v>
      </c>
      <c r="F37" s="125">
        <f t="shared" ref="F37:F68" si="7">IF(ISNA(MATCH($C37,$I$182:$AM$182,0)),F215,INDEX($I$189:$AM$189,1,MATCH($C37,$I$182:$AM$182,0)))</f>
        <v>8.77</v>
      </c>
    </row>
    <row r="38" spans="2:12" x14ac:dyDescent="0.25">
      <c r="B38" s="4" t="str">
        <f t="shared" si="5"/>
        <v>Friars</v>
      </c>
      <c r="C38" s="155" t="str">
        <f t="shared" si="4"/>
        <v>Friars</v>
      </c>
      <c r="D38" s="124">
        <f t="shared" si="4"/>
        <v>11389000</v>
      </c>
      <c r="E38" s="125">
        <f t="shared" si="6"/>
        <v>1.5</v>
      </c>
      <c r="F38" s="125">
        <f t="shared" si="7"/>
        <v>9.98</v>
      </c>
    </row>
    <row r="39" spans="2:12" hidden="1" x14ac:dyDescent="0.25">
      <c r="B39" s="4" t="str">
        <f t="shared" si="5"/>
        <v>Friars</v>
      </c>
      <c r="C39" s="155" t="str">
        <f t="shared" si="4"/>
        <v>Multiple</v>
      </c>
      <c r="D39" s="124">
        <f t="shared" si="4"/>
        <v>0</v>
      </c>
      <c r="E39" s="125">
        <f t="shared" si="6"/>
        <v>0</v>
      </c>
      <c r="F39" s="125">
        <f t="shared" si="7"/>
        <v>0</v>
      </c>
    </row>
    <row r="40" spans="2:12" x14ac:dyDescent="0.25">
      <c r="B40" s="4" t="str">
        <f t="shared" si="5"/>
        <v>Friars</v>
      </c>
      <c r="C40" s="155">
        <f t="shared" si="4"/>
        <v>39</v>
      </c>
      <c r="D40" s="124">
        <f t="shared" si="4"/>
        <v>6314000</v>
      </c>
      <c r="E40" s="125">
        <f t="shared" si="6"/>
        <v>1.5</v>
      </c>
      <c r="F40" s="125">
        <f t="shared" si="7"/>
        <v>9.98</v>
      </c>
    </row>
    <row r="41" spans="2:12" x14ac:dyDescent="0.25">
      <c r="B41" s="4" t="str">
        <f t="shared" si="5"/>
        <v>Friars</v>
      </c>
      <c r="C41" s="155">
        <f t="shared" si="4"/>
        <v>1060</v>
      </c>
      <c r="D41" s="124">
        <f t="shared" si="4"/>
        <v>2282000</v>
      </c>
      <c r="E41" s="125">
        <f t="shared" si="6"/>
        <v>1.46</v>
      </c>
      <c r="F41" s="125">
        <f t="shared" si="7"/>
        <v>9.74</v>
      </c>
    </row>
    <row r="42" spans="2:12" s="4" customFormat="1" x14ac:dyDescent="0.25">
      <c r="B42" s="4" t="str">
        <f t="shared" si="5"/>
        <v>Friars</v>
      </c>
      <c r="C42" s="155">
        <f t="shared" si="4"/>
        <v>35</v>
      </c>
      <c r="D42" s="124">
        <f t="shared" si="4"/>
        <v>2793000</v>
      </c>
      <c r="E42" s="125">
        <f t="shared" si="6"/>
        <v>1.39</v>
      </c>
      <c r="F42" s="125">
        <f t="shared" si="7"/>
        <v>9.25</v>
      </c>
      <c r="H42"/>
      <c r="I42"/>
      <c r="J42"/>
      <c r="K42"/>
      <c r="L42"/>
    </row>
    <row r="43" spans="2:12" s="4" customFormat="1" x14ac:dyDescent="0.25">
      <c r="B43" s="4" t="str">
        <f t="shared" si="5"/>
        <v>Genesee</v>
      </c>
      <c r="C43" s="155" t="str">
        <f t="shared" si="4"/>
        <v>Genesee</v>
      </c>
      <c r="D43" s="124">
        <f t="shared" si="4"/>
        <v>30719000</v>
      </c>
      <c r="E43" s="125">
        <f t="shared" si="6"/>
        <v>1.5</v>
      </c>
      <c r="F43" s="125">
        <f t="shared" si="7"/>
        <v>10</v>
      </c>
      <c r="H43"/>
      <c r="I43"/>
      <c r="J43"/>
      <c r="K43"/>
      <c r="L43"/>
    </row>
    <row r="44" spans="2:12" s="4" customFormat="1" x14ac:dyDescent="0.25">
      <c r="B44" s="4" t="str">
        <f t="shared" si="5"/>
        <v>Genesee</v>
      </c>
      <c r="C44" s="155">
        <f t="shared" si="4"/>
        <v>268</v>
      </c>
      <c r="D44" s="124">
        <f t="shared" si="4"/>
        <v>4221000</v>
      </c>
      <c r="E44" s="125">
        <f t="shared" si="6"/>
        <v>1.49</v>
      </c>
      <c r="F44" s="125">
        <f t="shared" si="7"/>
        <v>9.9499999999999993</v>
      </c>
      <c r="H44"/>
      <c r="I44"/>
      <c r="J44"/>
      <c r="K44"/>
      <c r="L44"/>
    </row>
    <row r="45" spans="2:12" s="4" customFormat="1" x14ac:dyDescent="0.25">
      <c r="B45" s="4" t="str">
        <f t="shared" si="5"/>
        <v>Genesee</v>
      </c>
      <c r="C45" s="155">
        <f t="shared" ref="C45:D64" si="8">C223</f>
        <v>271</v>
      </c>
      <c r="D45" s="124">
        <f t="shared" si="8"/>
        <v>3465000</v>
      </c>
      <c r="E45" s="125">
        <f t="shared" si="6"/>
        <v>1.49</v>
      </c>
      <c r="F45" s="125">
        <f t="shared" si="7"/>
        <v>9.9</v>
      </c>
      <c r="H45"/>
      <c r="I45"/>
      <c r="J45"/>
      <c r="K45"/>
      <c r="L45"/>
    </row>
    <row r="46" spans="2:12" s="4" customFormat="1" x14ac:dyDescent="0.25">
      <c r="B46" s="4" t="str">
        <f t="shared" si="5"/>
        <v>Genesee</v>
      </c>
      <c r="C46" s="155">
        <f t="shared" si="8"/>
        <v>272</v>
      </c>
      <c r="D46" s="124">
        <f t="shared" si="8"/>
        <v>2324000</v>
      </c>
      <c r="E46" s="125">
        <f t="shared" si="6"/>
        <v>1.34</v>
      </c>
      <c r="F46" s="125">
        <f t="shared" si="7"/>
        <v>8.9499999999999993</v>
      </c>
      <c r="H46"/>
      <c r="I46"/>
      <c r="J46"/>
      <c r="K46"/>
      <c r="L46"/>
    </row>
    <row r="47" spans="2:12" s="4" customFormat="1" hidden="1" x14ac:dyDescent="0.25">
      <c r="B47" s="4" t="str">
        <f t="shared" si="5"/>
        <v>Genesee</v>
      </c>
      <c r="C47" s="155" t="str">
        <f t="shared" si="8"/>
        <v>Multiple</v>
      </c>
      <c r="D47" s="124">
        <f t="shared" si="8"/>
        <v>0</v>
      </c>
      <c r="E47" s="125">
        <f t="shared" si="6"/>
        <v>0</v>
      </c>
      <c r="F47" s="125">
        <f t="shared" si="7"/>
        <v>0</v>
      </c>
      <c r="H47"/>
      <c r="I47"/>
      <c r="J47"/>
      <c r="K47"/>
      <c r="L47"/>
    </row>
    <row r="48" spans="2:12" s="4" customFormat="1" x14ac:dyDescent="0.25">
      <c r="B48" s="4" t="str">
        <f t="shared" si="5"/>
        <v>Genesee</v>
      </c>
      <c r="C48" s="155">
        <f t="shared" si="8"/>
        <v>273</v>
      </c>
      <c r="D48" s="124">
        <f t="shared" si="8"/>
        <v>9562000</v>
      </c>
      <c r="E48" s="125">
        <f t="shared" si="6"/>
        <v>1.48</v>
      </c>
      <c r="F48" s="125">
        <f t="shared" si="7"/>
        <v>9.89</v>
      </c>
      <c r="H48"/>
      <c r="I48"/>
      <c r="J48"/>
      <c r="K48"/>
      <c r="L48"/>
    </row>
    <row r="49" spans="2:12" s="4" customFormat="1" x14ac:dyDescent="0.25">
      <c r="B49" s="4" t="str">
        <f t="shared" si="5"/>
        <v>Genesee</v>
      </c>
      <c r="C49" s="155">
        <f t="shared" si="8"/>
        <v>270</v>
      </c>
      <c r="D49" s="124">
        <f t="shared" si="8"/>
        <v>4448000</v>
      </c>
      <c r="E49" s="125">
        <f t="shared" si="6"/>
        <v>1.5</v>
      </c>
      <c r="F49" s="125">
        <f t="shared" si="7"/>
        <v>10</v>
      </c>
      <c r="H49"/>
      <c r="I49"/>
      <c r="J49"/>
      <c r="K49"/>
      <c r="L49"/>
    </row>
    <row r="50" spans="2:12" s="4" customFormat="1" x14ac:dyDescent="0.25">
      <c r="B50" s="4" t="str">
        <f t="shared" si="5"/>
        <v>Genesee</v>
      </c>
      <c r="C50" s="155">
        <f t="shared" si="8"/>
        <v>748</v>
      </c>
      <c r="D50" s="124">
        <f t="shared" si="8"/>
        <v>1708000</v>
      </c>
      <c r="E50" s="125">
        <f t="shared" si="6"/>
        <v>1.5</v>
      </c>
      <c r="F50" s="125">
        <f t="shared" si="7"/>
        <v>10</v>
      </c>
      <c r="H50"/>
      <c r="I50"/>
      <c r="J50"/>
      <c r="K50"/>
      <c r="L50"/>
    </row>
    <row r="51" spans="2:12" s="4" customFormat="1" x14ac:dyDescent="0.25">
      <c r="B51" s="4" t="str">
        <f t="shared" si="5"/>
        <v>Genesee</v>
      </c>
      <c r="C51" s="155">
        <f t="shared" si="8"/>
        <v>745</v>
      </c>
      <c r="D51" s="124">
        <f t="shared" si="8"/>
        <v>4991000</v>
      </c>
      <c r="E51" s="125">
        <f t="shared" si="6"/>
        <v>1.46</v>
      </c>
      <c r="F51" s="125">
        <f t="shared" si="7"/>
        <v>9.74</v>
      </c>
      <c r="H51"/>
      <c r="I51"/>
      <c r="J51"/>
      <c r="K51"/>
      <c r="L51"/>
    </row>
    <row r="52" spans="2:12" s="4" customFormat="1" x14ac:dyDescent="0.25">
      <c r="B52" s="4" t="str">
        <f t="shared" si="5"/>
        <v>Grant Hill</v>
      </c>
      <c r="C52" s="155" t="str">
        <f t="shared" si="8"/>
        <v>Grant Hill</v>
      </c>
      <c r="D52" s="124">
        <f t="shared" si="8"/>
        <v>1044400</v>
      </c>
      <c r="E52" s="125">
        <f t="shared" si="6"/>
        <v>1.37</v>
      </c>
      <c r="F52" s="125">
        <f t="shared" si="7"/>
        <v>9.11</v>
      </c>
      <c r="H52"/>
      <c r="I52"/>
      <c r="J52"/>
      <c r="K52"/>
      <c r="L52"/>
    </row>
    <row r="53" spans="2:12" s="4" customFormat="1" x14ac:dyDescent="0.25">
      <c r="B53" s="4" t="str">
        <f t="shared" si="5"/>
        <v>Grant Hill</v>
      </c>
      <c r="C53" s="155">
        <f t="shared" si="8"/>
        <v>1434</v>
      </c>
      <c r="D53" s="124">
        <f t="shared" si="8"/>
        <v>1044400</v>
      </c>
      <c r="E53" s="125">
        <f t="shared" si="6"/>
        <v>1.37</v>
      </c>
      <c r="F53" s="125">
        <f t="shared" si="7"/>
        <v>9.11</v>
      </c>
      <c r="H53"/>
      <c r="I53"/>
      <c r="J53"/>
      <c r="K53"/>
      <c r="L53"/>
    </row>
    <row r="54" spans="2:12" s="4" customFormat="1" x14ac:dyDescent="0.25">
      <c r="B54" s="4" t="str">
        <f t="shared" si="5"/>
        <v>Imperial Beach</v>
      </c>
      <c r="C54" s="155" t="str">
        <f t="shared" si="8"/>
        <v>Imperial Beach</v>
      </c>
      <c r="D54" s="124">
        <f t="shared" si="8"/>
        <v>3591000</v>
      </c>
      <c r="E54" s="125">
        <f t="shared" si="6"/>
        <v>1.4</v>
      </c>
      <c r="F54" s="125">
        <f t="shared" si="7"/>
        <v>9.33</v>
      </c>
      <c r="H54"/>
      <c r="I54"/>
      <c r="J54"/>
      <c r="K54"/>
      <c r="L54"/>
    </row>
    <row r="55" spans="2:12" s="4" customFormat="1" x14ac:dyDescent="0.25">
      <c r="B55" s="4" t="str">
        <f t="shared" si="5"/>
        <v>Imperial Beach</v>
      </c>
      <c r="C55" s="155">
        <f t="shared" si="8"/>
        <v>723</v>
      </c>
      <c r="D55" s="124">
        <f t="shared" si="8"/>
        <v>3591000</v>
      </c>
      <c r="E55" s="125">
        <f t="shared" si="6"/>
        <v>1.4</v>
      </c>
      <c r="F55" s="125">
        <f t="shared" si="7"/>
        <v>9.33</v>
      </c>
      <c r="H55"/>
      <c r="I55"/>
      <c r="J55"/>
      <c r="K55"/>
      <c r="L55"/>
    </row>
    <row r="56" spans="2:12" s="4" customFormat="1" x14ac:dyDescent="0.25">
      <c r="B56" s="4" t="str">
        <f t="shared" si="5"/>
        <v>Kearney</v>
      </c>
      <c r="C56" s="155" t="str">
        <f t="shared" si="8"/>
        <v>Kearney</v>
      </c>
      <c r="D56" s="124">
        <f t="shared" si="8"/>
        <v>9859000</v>
      </c>
      <c r="E56" s="125">
        <f t="shared" si="6"/>
        <v>1.5</v>
      </c>
      <c r="F56" s="125">
        <f t="shared" si="7"/>
        <v>9.9700000000000006</v>
      </c>
      <c r="H56"/>
      <c r="I56"/>
      <c r="J56"/>
      <c r="K56"/>
      <c r="L56"/>
    </row>
    <row r="57" spans="2:12" s="4" customFormat="1" x14ac:dyDescent="0.25">
      <c r="B57" s="4" t="str">
        <f t="shared" si="5"/>
        <v>Kearney</v>
      </c>
      <c r="C57" s="155">
        <f t="shared" si="8"/>
        <v>711</v>
      </c>
      <c r="D57" s="124">
        <f t="shared" si="8"/>
        <v>1400000</v>
      </c>
      <c r="E57" s="125">
        <f t="shared" si="6"/>
        <v>1.5</v>
      </c>
      <c r="F57" s="125">
        <f t="shared" si="7"/>
        <v>9.9700000000000006</v>
      </c>
      <c r="H57"/>
      <c r="I57"/>
      <c r="J57"/>
      <c r="K57"/>
      <c r="L57"/>
    </row>
    <row r="58" spans="2:12" s="4" customFormat="1" x14ac:dyDescent="0.25">
      <c r="B58" s="4" t="str">
        <f t="shared" si="5"/>
        <v>Kearney</v>
      </c>
      <c r="C58" s="155">
        <f t="shared" si="8"/>
        <v>251</v>
      </c>
      <c r="D58" s="124">
        <f t="shared" si="8"/>
        <v>4135000</v>
      </c>
      <c r="E58" s="125">
        <f t="shared" si="6"/>
        <v>0.98</v>
      </c>
      <c r="F58" s="125">
        <f t="shared" si="7"/>
        <v>6.56</v>
      </c>
      <c r="H58"/>
      <c r="I58"/>
      <c r="J58"/>
      <c r="K58"/>
      <c r="L58"/>
    </row>
    <row r="59" spans="2:12" s="4" customFormat="1" x14ac:dyDescent="0.25">
      <c r="B59" s="4" t="str">
        <f t="shared" si="5"/>
        <v>Kearney</v>
      </c>
      <c r="C59" s="155">
        <f t="shared" si="8"/>
        <v>712</v>
      </c>
      <c r="D59" s="124">
        <f t="shared" si="8"/>
        <v>1303000</v>
      </c>
      <c r="E59" s="125">
        <f t="shared" si="6"/>
        <v>1.48</v>
      </c>
      <c r="F59" s="125">
        <f t="shared" si="7"/>
        <v>9.84</v>
      </c>
      <c r="H59"/>
      <c r="I59"/>
      <c r="J59"/>
      <c r="K59"/>
      <c r="L59"/>
    </row>
    <row r="60" spans="2:12" s="4" customFormat="1" x14ac:dyDescent="0.25">
      <c r="B60" s="4" t="str">
        <f t="shared" si="5"/>
        <v>Kearney</v>
      </c>
      <c r="C60" s="155">
        <f t="shared" si="8"/>
        <v>348</v>
      </c>
      <c r="D60" s="124">
        <f t="shared" si="8"/>
        <v>1561000</v>
      </c>
      <c r="E60" s="125">
        <f t="shared" si="6"/>
        <v>0.78</v>
      </c>
      <c r="F60" s="125">
        <f t="shared" si="7"/>
        <v>5.23</v>
      </c>
      <c r="H60"/>
      <c r="I60"/>
      <c r="J60"/>
      <c r="K60"/>
      <c r="L60"/>
    </row>
    <row r="61" spans="2:12" s="4" customFormat="1" x14ac:dyDescent="0.25">
      <c r="B61" s="4" t="str">
        <f t="shared" si="5"/>
        <v>Kearney</v>
      </c>
      <c r="C61" s="155">
        <f t="shared" si="8"/>
        <v>254</v>
      </c>
      <c r="D61" s="124">
        <f t="shared" si="8"/>
        <v>1460000</v>
      </c>
      <c r="E61" s="125">
        <f t="shared" si="6"/>
        <v>1.45</v>
      </c>
      <c r="F61" s="125">
        <f t="shared" si="7"/>
        <v>9.66</v>
      </c>
      <c r="H61"/>
      <c r="I61"/>
      <c r="J61"/>
      <c r="K61"/>
      <c r="L61"/>
    </row>
    <row r="62" spans="2:12" s="4" customFormat="1" x14ac:dyDescent="0.25">
      <c r="B62" s="4" t="str">
        <f t="shared" si="5"/>
        <v>Kettner</v>
      </c>
      <c r="C62" s="155" t="str">
        <f t="shared" si="8"/>
        <v>Kettner</v>
      </c>
      <c r="D62" s="124">
        <f t="shared" si="8"/>
        <v>20916000</v>
      </c>
      <c r="E62" s="125">
        <f t="shared" si="6"/>
        <v>1.5</v>
      </c>
      <c r="F62" s="125">
        <f t="shared" si="7"/>
        <v>10</v>
      </c>
      <c r="H62"/>
      <c r="I62"/>
      <c r="J62"/>
      <c r="K62"/>
      <c r="L62"/>
    </row>
    <row r="63" spans="2:12" s="4" customFormat="1" x14ac:dyDescent="0.25">
      <c r="B63" s="4" t="str">
        <f t="shared" si="5"/>
        <v>Kettner</v>
      </c>
      <c r="C63" s="155">
        <f t="shared" si="8"/>
        <v>134</v>
      </c>
      <c r="D63" s="124">
        <f t="shared" si="8"/>
        <v>13398000</v>
      </c>
      <c r="E63" s="125">
        <f t="shared" si="6"/>
        <v>1.5</v>
      </c>
      <c r="F63" s="125">
        <f t="shared" si="7"/>
        <v>10</v>
      </c>
      <c r="H63"/>
      <c r="I63"/>
      <c r="J63"/>
      <c r="K63"/>
      <c r="L63"/>
    </row>
    <row r="64" spans="2:12" s="4" customFormat="1" x14ac:dyDescent="0.25">
      <c r="B64" s="4" t="str">
        <f t="shared" si="5"/>
        <v>Kettner</v>
      </c>
      <c r="C64" s="155">
        <f t="shared" si="8"/>
        <v>135</v>
      </c>
      <c r="D64" s="124">
        <f t="shared" si="8"/>
        <v>5348000</v>
      </c>
      <c r="E64" s="125">
        <f t="shared" si="6"/>
        <v>1.41</v>
      </c>
      <c r="F64" s="125">
        <f t="shared" si="7"/>
        <v>9.4</v>
      </c>
      <c r="H64"/>
      <c r="I64"/>
      <c r="J64"/>
      <c r="K64"/>
      <c r="L64"/>
    </row>
    <row r="65" spans="2:12" s="4" customFormat="1" x14ac:dyDescent="0.25">
      <c r="B65" s="4" t="str">
        <f t="shared" si="5"/>
        <v>Kettner</v>
      </c>
      <c r="C65" s="155">
        <f t="shared" ref="C65:D84" si="9">C243</f>
        <v>458</v>
      </c>
      <c r="D65" s="124">
        <f t="shared" si="9"/>
        <v>2170000</v>
      </c>
      <c r="E65" s="125">
        <f t="shared" si="6"/>
        <v>1.4</v>
      </c>
      <c r="F65" s="125">
        <f t="shared" si="7"/>
        <v>9.33</v>
      </c>
      <c r="H65"/>
      <c r="I65"/>
      <c r="J65"/>
      <c r="K65"/>
      <c r="L65"/>
    </row>
    <row r="66" spans="2:12" s="4" customFormat="1" hidden="1" x14ac:dyDescent="0.25">
      <c r="B66" s="4" t="str">
        <f t="shared" si="5"/>
        <v>Kettner</v>
      </c>
      <c r="C66" s="155" t="str">
        <f t="shared" si="9"/>
        <v>Multiple</v>
      </c>
      <c r="D66" s="124">
        <f t="shared" si="9"/>
        <v>0</v>
      </c>
      <c r="E66" s="125">
        <f t="shared" si="6"/>
        <v>0</v>
      </c>
      <c r="F66" s="125">
        <f t="shared" si="7"/>
        <v>0</v>
      </c>
      <c r="H66"/>
      <c r="I66"/>
      <c r="J66"/>
      <c r="K66"/>
      <c r="L66"/>
    </row>
    <row r="67" spans="2:12" s="4" customFormat="1" hidden="1" x14ac:dyDescent="0.25">
      <c r="B67" s="4" t="str">
        <f t="shared" si="5"/>
        <v>Kettner</v>
      </c>
      <c r="C67" s="155" t="str">
        <f t="shared" si="9"/>
        <v>(blank)</v>
      </c>
      <c r="D67" s="124">
        <f t="shared" si="9"/>
        <v>0</v>
      </c>
      <c r="E67" s="125">
        <f t="shared" si="6"/>
        <v>0</v>
      </c>
      <c r="F67" s="125">
        <f t="shared" si="7"/>
        <v>0</v>
      </c>
      <c r="H67"/>
      <c r="I67"/>
      <c r="J67"/>
      <c r="K67"/>
      <c r="L67"/>
    </row>
    <row r="68" spans="2:12" s="4" customFormat="1" x14ac:dyDescent="0.25">
      <c r="B68" s="4" t="str">
        <f t="shared" si="5"/>
        <v>Mesa Heights</v>
      </c>
      <c r="C68" s="155" t="str">
        <f t="shared" si="9"/>
        <v>Mesa Heights</v>
      </c>
      <c r="D68" s="124">
        <f t="shared" si="9"/>
        <v>13378000</v>
      </c>
      <c r="E68" s="125">
        <f t="shared" si="6"/>
        <v>1.77</v>
      </c>
      <c r="F68" s="125">
        <f t="shared" si="7"/>
        <v>11.82</v>
      </c>
      <c r="H68"/>
      <c r="I68"/>
      <c r="J68"/>
      <c r="K68"/>
      <c r="L68"/>
    </row>
    <row r="69" spans="2:12" s="4" customFormat="1" x14ac:dyDescent="0.25">
      <c r="B69" s="4" t="str">
        <f t="shared" ref="B69:B100" si="10">IF(AND(ISTEXT(C69),NOT(C69="Multiple"),NOT(C69="(blank)")),C69,B68)</f>
        <v>Mesa Heights</v>
      </c>
      <c r="C69" s="155">
        <f t="shared" si="9"/>
        <v>776</v>
      </c>
      <c r="D69" s="124">
        <f t="shared" si="9"/>
        <v>2134000</v>
      </c>
      <c r="E69" s="125">
        <f t="shared" ref="E69:E100" si="11">IF(ISNA(MATCH($C69,$I$182:$AM$182,0)),E247,INDEX($I$188:$AM$188,1,MATCH($C69,$I$182:$AM$182,0)))</f>
        <v>1.73</v>
      </c>
      <c r="F69" s="125">
        <f t="shared" ref="F69:F100" si="12">IF(ISNA(MATCH($C69,$I$182:$AM$182,0)),F247,INDEX($I$189:$AM$189,1,MATCH($C69,$I$182:$AM$182,0)))</f>
        <v>11.5</v>
      </c>
      <c r="H69"/>
      <c r="I69"/>
      <c r="J69"/>
      <c r="K69"/>
      <c r="L69"/>
    </row>
    <row r="70" spans="2:12" s="4" customFormat="1" x14ac:dyDescent="0.25">
      <c r="B70" s="4" t="str">
        <f t="shared" si="10"/>
        <v>Mesa Heights</v>
      </c>
      <c r="C70" s="155">
        <f t="shared" si="9"/>
        <v>775</v>
      </c>
      <c r="D70" s="124">
        <f t="shared" si="9"/>
        <v>2545000</v>
      </c>
      <c r="E70" s="125">
        <f t="shared" si="11"/>
        <v>1.77</v>
      </c>
      <c r="F70" s="125">
        <f t="shared" si="12"/>
        <v>11.82</v>
      </c>
      <c r="H70"/>
      <c r="I70"/>
      <c r="J70"/>
      <c r="K70"/>
      <c r="L70"/>
    </row>
    <row r="71" spans="2:12" s="4" customFormat="1" x14ac:dyDescent="0.25">
      <c r="B71" s="4" t="str">
        <f t="shared" si="10"/>
        <v>Mesa Heights</v>
      </c>
      <c r="C71" s="155">
        <f t="shared" si="9"/>
        <v>1286</v>
      </c>
      <c r="D71" s="124">
        <f t="shared" si="9"/>
        <v>4774000</v>
      </c>
      <c r="E71" s="125">
        <f t="shared" si="11"/>
        <v>1.76</v>
      </c>
      <c r="F71" s="125">
        <f t="shared" si="12"/>
        <v>11.75</v>
      </c>
      <c r="H71"/>
      <c r="I71"/>
      <c r="J71"/>
      <c r="K71"/>
      <c r="L71"/>
    </row>
    <row r="72" spans="2:12" s="4" customFormat="1" x14ac:dyDescent="0.25">
      <c r="B72" s="4" t="str">
        <f t="shared" si="10"/>
        <v>Mesa Heights</v>
      </c>
      <c r="C72" s="155">
        <f t="shared" si="9"/>
        <v>774</v>
      </c>
      <c r="D72" s="124">
        <f t="shared" si="9"/>
        <v>3925000</v>
      </c>
      <c r="E72" s="125">
        <f t="shared" si="11"/>
        <v>1.77</v>
      </c>
      <c r="F72" s="125">
        <f t="shared" si="12"/>
        <v>11.79</v>
      </c>
      <c r="H72"/>
      <c r="I72"/>
      <c r="J72"/>
      <c r="K72"/>
      <c r="L72"/>
    </row>
    <row r="73" spans="2:12" s="4" customFormat="1" x14ac:dyDescent="0.25">
      <c r="B73" s="4" t="str">
        <f t="shared" si="10"/>
        <v>Mesa Heights</v>
      </c>
      <c r="C73" s="155">
        <f t="shared" si="9"/>
        <v>772</v>
      </c>
      <c r="D73" s="124">
        <f t="shared" si="9"/>
        <v>0</v>
      </c>
      <c r="E73" s="125">
        <f t="shared" si="11"/>
        <v>1.76</v>
      </c>
      <c r="F73" s="125">
        <f t="shared" si="12"/>
        <v>11.73</v>
      </c>
      <c r="H73"/>
      <c r="I73"/>
      <c r="J73"/>
      <c r="K73"/>
      <c r="L73"/>
    </row>
    <row r="74" spans="2:12" s="4" customFormat="1" x14ac:dyDescent="0.25">
      <c r="B74" s="4" t="str">
        <f t="shared" si="10"/>
        <v>Mesa Rim</v>
      </c>
      <c r="C74" s="155" t="str">
        <f t="shared" si="9"/>
        <v>Mesa Rim</v>
      </c>
      <c r="D74" s="124">
        <f t="shared" si="9"/>
        <v>2499000</v>
      </c>
      <c r="E74" s="125">
        <f t="shared" si="11"/>
        <v>1.49</v>
      </c>
      <c r="F74" s="125">
        <f t="shared" si="12"/>
        <v>9.93</v>
      </c>
      <c r="H74"/>
      <c r="I74"/>
      <c r="J74"/>
      <c r="K74"/>
      <c r="L74"/>
    </row>
    <row r="75" spans="2:12" s="4" customFormat="1" x14ac:dyDescent="0.25">
      <c r="B75" s="4" t="str">
        <f t="shared" si="10"/>
        <v>Mesa Rim</v>
      </c>
      <c r="C75" s="155">
        <f t="shared" si="9"/>
        <v>959</v>
      </c>
      <c r="D75" s="124">
        <f t="shared" si="9"/>
        <v>2499000</v>
      </c>
      <c r="E75" s="125">
        <f t="shared" si="11"/>
        <v>1.49</v>
      </c>
      <c r="F75" s="125">
        <f t="shared" si="12"/>
        <v>9.93</v>
      </c>
      <c r="H75"/>
      <c r="I75"/>
      <c r="J75"/>
      <c r="K75"/>
      <c r="L75"/>
    </row>
    <row r="76" spans="2:12" s="4" customFormat="1" x14ac:dyDescent="0.25">
      <c r="B76" s="4" t="str">
        <f t="shared" si="10"/>
        <v>Mira Mesa</v>
      </c>
      <c r="C76" s="155" t="str">
        <f t="shared" si="9"/>
        <v>Mira Mesa</v>
      </c>
      <c r="D76" s="124">
        <f t="shared" si="9"/>
        <v>1071000</v>
      </c>
      <c r="E76" s="125">
        <f t="shared" si="11"/>
        <v>1.41</v>
      </c>
      <c r="F76" s="125">
        <f t="shared" si="12"/>
        <v>9.3699999999999992</v>
      </c>
      <c r="H76"/>
      <c r="I76"/>
      <c r="J76"/>
      <c r="K76"/>
      <c r="L76"/>
    </row>
    <row r="77" spans="2:12" s="4" customFormat="1" x14ac:dyDescent="0.25">
      <c r="B77" s="4" t="str">
        <f t="shared" si="10"/>
        <v>Mira Mesa</v>
      </c>
      <c r="C77" s="155">
        <f t="shared" si="9"/>
        <v>962</v>
      </c>
      <c r="D77" s="124">
        <f t="shared" si="9"/>
        <v>1071000</v>
      </c>
      <c r="E77" s="125">
        <f t="shared" si="11"/>
        <v>1.41</v>
      </c>
      <c r="F77" s="125">
        <f t="shared" si="12"/>
        <v>9.3699999999999992</v>
      </c>
      <c r="H77"/>
      <c r="I77"/>
      <c r="J77"/>
      <c r="K77"/>
      <c r="L77"/>
    </row>
    <row r="78" spans="2:12" s="4" customFormat="1" x14ac:dyDescent="0.25">
      <c r="B78" s="4" t="str">
        <f t="shared" si="10"/>
        <v>Miramar</v>
      </c>
      <c r="C78" s="155" t="str">
        <f t="shared" si="9"/>
        <v>Miramar</v>
      </c>
      <c r="D78" s="124">
        <f t="shared" si="9"/>
        <v>55505200</v>
      </c>
      <c r="E78" s="125">
        <f t="shared" si="11"/>
        <v>1.48</v>
      </c>
      <c r="F78" s="125">
        <f t="shared" si="12"/>
        <v>9.84</v>
      </c>
      <c r="H78"/>
      <c r="I78"/>
      <c r="J78"/>
      <c r="K78"/>
      <c r="L78"/>
    </row>
    <row r="79" spans="2:12" s="4" customFormat="1" x14ac:dyDescent="0.25">
      <c r="B79" s="4" t="str">
        <f t="shared" si="10"/>
        <v>Miramar</v>
      </c>
      <c r="C79" s="155">
        <f t="shared" si="9"/>
        <v>223</v>
      </c>
      <c r="D79" s="124">
        <f t="shared" si="9"/>
        <v>48236200</v>
      </c>
      <c r="E79" s="125">
        <f t="shared" si="11"/>
        <v>1.42</v>
      </c>
      <c r="F79" s="125">
        <f t="shared" si="12"/>
        <v>9.4700000000000006</v>
      </c>
      <c r="H79"/>
      <c r="I79"/>
      <c r="J79"/>
      <c r="K79"/>
      <c r="L79"/>
    </row>
    <row r="80" spans="2:12" s="4" customFormat="1" x14ac:dyDescent="0.25">
      <c r="B80" s="4" t="str">
        <f t="shared" si="10"/>
        <v>Miramar</v>
      </c>
      <c r="C80" s="155">
        <f t="shared" si="9"/>
        <v>761</v>
      </c>
      <c r="D80" s="124">
        <f t="shared" si="9"/>
        <v>2079000</v>
      </c>
      <c r="E80" s="125">
        <f t="shared" si="11"/>
        <v>1.43</v>
      </c>
      <c r="F80" s="125">
        <f t="shared" si="12"/>
        <v>9.5399999999999991</v>
      </c>
      <c r="H80"/>
      <c r="I80"/>
      <c r="J80"/>
      <c r="K80"/>
      <c r="L80"/>
    </row>
    <row r="81" spans="2:12" s="4" customFormat="1" x14ac:dyDescent="0.25">
      <c r="B81" s="4" t="str">
        <f t="shared" si="10"/>
        <v>Miramar</v>
      </c>
      <c r="C81" s="155">
        <f t="shared" si="9"/>
        <v>224</v>
      </c>
      <c r="D81" s="124">
        <f t="shared" si="9"/>
        <v>1001000</v>
      </c>
      <c r="E81" s="125">
        <f t="shared" si="11"/>
        <v>1.48</v>
      </c>
      <c r="F81" s="125">
        <f t="shared" si="12"/>
        <v>9.84</v>
      </c>
      <c r="H81"/>
      <c r="I81"/>
      <c r="J81"/>
      <c r="K81"/>
      <c r="L81"/>
    </row>
    <row r="82" spans="2:12" s="4" customFormat="1" x14ac:dyDescent="0.25">
      <c r="B82" s="4" t="str">
        <f t="shared" si="10"/>
        <v>Miramar</v>
      </c>
      <c r="C82" s="155">
        <f t="shared" si="9"/>
        <v>229</v>
      </c>
      <c r="D82" s="124">
        <f t="shared" si="9"/>
        <v>910000</v>
      </c>
      <c r="E82" s="125">
        <f t="shared" si="11"/>
        <v>1.37</v>
      </c>
      <c r="F82" s="125">
        <f t="shared" si="12"/>
        <v>9.1</v>
      </c>
      <c r="H82"/>
      <c r="I82"/>
      <c r="J82"/>
      <c r="K82"/>
      <c r="L82"/>
    </row>
    <row r="83" spans="2:12" s="4" customFormat="1" x14ac:dyDescent="0.25">
      <c r="B83" s="4" t="str">
        <f t="shared" si="10"/>
        <v>Miramar</v>
      </c>
      <c r="C83" s="155">
        <f t="shared" si="9"/>
        <v>228</v>
      </c>
      <c r="D83" s="124">
        <f t="shared" si="9"/>
        <v>3279000</v>
      </c>
      <c r="E83" s="125">
        <f t="shared" si="11"/>
        <v>1.42</v>
      </c>
      <c r="F83" s="125">
        <f t="shared" si="12"/>
        <v>9.4600000000000009</v>
      </c>
      <c r="H83"/>
      <c r="I83"/>
      <c r="J83"/>
      <c r="K83"/>
      <c r="L83"/>
    </row>
    <row r="84" spans="2:12" s="4" customFormat="1" x14ac:dyDescent="0.25">
      <c r="B84" s="4" t="str">
        <f t="shared" si="10"/>
        <v>Missing ICA</v>
      </c>
      <c r="C84" s="155" t="str">
        <f t="shared" si="9"/>
        <v>Missing ICA</v>
      </c>
      <c r="D84" s="124">
        <f t="shared" si="9"/>
        <v>8029000</v>
      </c>
      <c r="E84" s="125">
        <f t="shared" si="11"/>
        <v>0</v>
      </c>
      <c r="F84" s="125">
        <f t="shared" si="12"/>
        <v>0</v>
      </c>
      <c r="H84"/>
      <c r="I84"/>
      <c r="J84"/>
      <c r="K84"/>
      <c r="L84"/>
    </row>
    <row r="85" spans="2:12" s="4" customFormat="1" x14ac:dyDescent="0.25">
      <c r="B85" s="4" t="str">
        <f t="shared" si="10"/>
        <v>-</v>
      </c>
      <c r="C85" s="155" t="str">
        <f t="shared" ref="C85:D104" si="13">C263</f>
        <v>-</v>
      </c>
      <c r="D85" s="124">
        <f t="shared" si="13"/>
        <v>8029000</v>
      </c>
      <c r="E85" s="125">
        <f t="shared" si="11"/>
        <v>0</v>
      </c>
      <c r="F85" s="125">
        <f t="shared" si="12"/>
        <v>0</v>
      </c>
      <c r="H85"/>
      <c r="I85"/>
      <c r="J85"/>
      <c r="K85"/>
      <c r="L85"/>
    </row>
    <row r="86" spans="2:12" s="4" customFormat="1" hidden="1" x14ac:dyDescent="0.25">
      <c r="B86" s="4" t="str">
        <f t="shared" si="10"/>
        <v>-</v>
      </c>
      <c r="C86" s="155" t="str">
        <f t="shared" si="13"/>
        <v>(blank)</v>
      </c>
      <c r="D86" s="124">
        <f t="shared" si="13"/>
        <v>0</v>
      </c>
      <c r="E86" s="125">
        <f t="shared" si="11"/>
        <v>0</v>
      </c>
      <c r="F86" s="125">
        <f t="shared" si="12"/>
        <v>0</v>
      </c>
      <c r="H86"/>
      <c r="I86"/>
      <c r="J86"/>
      <c r="K86"/>
      <c r="L86"/>
    </row>
    <row r="87" spans="2:12" s="4" customFormat="1" x14ac:dyDescent="0.25">
      <c r="B87" s="4" t="str">
        <f t="shared" si="10"/>
        <v>Mission</v>
      </c>
      <c r="C87" s="155" t="str">
        <f t="shared" si="13"/>
        <v>Mission</v>
      </c>
      <c r="D87" s="124">
        <f t="shared" si="13"/>
        <v>46953920</v>
      </c>
      <c r="E87" s="125">
        <f t="shared" si="11"/>
        <v>1.5</v>
      </c>
      <c r="F87" s="125">
        <f t="shared" si="12"/>
        <v>10</v>
      </c>
      <c r="H87"/>
      <c r="I87"/>
      <c r="J87"/>
      <c r="K87"/>
      <c r="L87"/>
    </row>
    <row r="88" spans="2:12" s="4" customFormat="1" hidden="1" x14ac:dyDescent="0.25">
      <c r="B88" s="4" t="str">
        <f t="shared" si="10"/>
        <v>Mission</v>
      </c>
      <c r="C88" s="155" t="str">
        <f t="shared" si="13"/>
        <v>Multiple</v>
      </c>
      <c r="D88" s="124">
        <f t="shared" si="13"/>
        <v>0</v>
      </c>
      <c r="E88" s="125">
        <f t="shared" si="11"/>
        <v>0</v>
      </c>
      <c r="F88" s="125">
        <f t="shared" si="12"/>
        <v>0</v>
      </c>
      <c r="H88"/>
      <c r="I88"/>
      <c r="J88"/>
      <c r="K88"/>
      <c r="L88"/>
    </row>
    <row r="89" spans="2:12" s="4" customFormat="1" x14ac:dyDescent="0.25">
      <c r="B89" s="4" t="str">
        <f t="shared" si="10"/>
        <v>Mission</v>
      </c>
      <c r="C89" s="155">
        <f t="shared" si="13"/>
        <v>144</v>
      </c>
      <c r="D89" s="124">
        <f t="shared" si="13"/>
        <v>2891000</v>
      </c>
      <c r="E89" s="125">
        <f t="shared" si="11"/>
        <v>1.26</v>
      </c>
      <c r="F89" s="125">
        <f t="shared" si="12"/>
        <v>8.42</v>
      </c>
      <c r="H89"/>
      <c r="I89"/>
      <c r="J89"/>
      <c r="K89"/>
      <c r="L89"/>
    </row>
    <row r="90" spans="2:12" s="4" customFormat="1" x14ac:dyDescent="0.25">
      <c r="B90" s="4" t="str">
        <f t="shared" si="10"/>
        <v>Mission</v>
      </c>
      <c r="C90" s="155">
        <f t="shared" si="13"/>
        <v>706</v>
      </c>
      <c r="D90" s="124">
        <f t="shared" si="13"/>
        <v>10863420</v>
      </c>
      <c r="E90" s="125">
        <f t="shared" si="11"/>
        <v>1.36</v>
      </c>
      <c r="F90" s="125">
        <f t="shared" si="12"/>
        <v>9.06</v>
      </c>
      <c r="H90"/>
      <c r="I90"/>
      <c r="J90"/>
      <c r="K90"/>
      <c r="L90"/>
    </row>
    <row r="91" spans="2:12" s="4" customFormat="1" x14ac:dyDescent="0.25">
      <c r="B91" s="4" t="str">
        <f t="shared" si="10"/>
        <v>Mission</v>
      </c>
      <c r="C91" s="155">
        <f t="shared" si="13"/>
        <v>707</v>
      </c>
      <c r="D91" s="124">
        <f t="shared" si="13"/>
        <v>1190000</v>
      </c>
      <c r="E91" s="125">
        <f t="shared" si="11"/>
        <v>1.5</v>
      </c>
      <c r="F91" s="125">
        <f t="shared" si="12"/>
        <v>10</v>
      </c>
      <c r="H91"/>
      <c r="I91"/>
      <c r="J91"/>
      <c r="K91"/>
      <c r="L91"/>
    </row>
    <row r="92" spans="2:12" s="4" customFormat="1" x14ac:dyDescent="0.25">
      <c r="B92" s="4" t="str">
        <f t="shared" si="10"/>
        <v>Mission</v>
      </c>
      <c r="C92" s="155">
        <f t="shared" si="13"/>
        <v>145</v>
      </c>
      <c r="D92" s="124">
        <f t="shared" si="13"/>
        <v>931000</v>
      </c>
      <c r="E92" s="125">
        <f t="shared" si="11"/>
        <v>1.43</v>
      </c>
      <c r="F92" s="125">
        <f t="shared" si="12"/>
        <v>9.5399999999999991</v>
      </c>
      <c r="H92"/>
      <c r="I92"/>
      <c r="J92"/>
      <c r="K92"/>
      <c r="L92"/>
    </row>
    <row r="93" spans="2:12" s="4" customFormat="1" x14ac:dyDescent="0.25">
      <c r="B93" s="4" t="str">
        <f t="shared" si="10"/>
        <v>Mission</v>
      </c>
      <c r="C93" s="155">
        <f t="shared" si="13"/>
        <v>147</v>
      </c>
      <c r="D93" s="124">
        <f t="shared" si="13"/>
        <v>6198500</v>
      </c>
      <c r="E93" s="125">
        <f t="shared" si="11"/>
        <v>1.37</v>
      </c>
      <c r="F93" s="125">
        <f t="shared" si="12"/>
        <v>9.1300000000000008</v>
      </c>
      <c r="H93"/>
      <c r="I93"/>
      <c r="J93"/>
      <c r="K93"/>
      <c r="L93"/>
    </row>
    <row r="94" spans="2:12" s="4" customFormat="1" x14ac:dyDescent="0.25">
      <c r="B94" s="4" t="str">
        <f t="shared" si="10"/>
        <v>Mission</v>
      </c>
      <c r="C94" s="155">
        <f t="shared" si="13"/>
        <v>146</v>
      </c>
      <c r="D94" s="124">
        <f t="shared" si="13"/>
        <v>1127000</v>
      </c>
      <c r="E94" s="125">
        <f t="shared" si="11"/>
        <v>1.45</v>
      </c>
      <c r="F94" s="125">
        <f t="shared" si="12"/>
        <v>9.66</v>
      </c>
      <c r="H94"/>
      <c r="I94"/>
      <c r="J94"/>
      <c r="K94"/>
      <c r="L94"/>
    </row>
    <row r="95" spans="2:12" s="4" customFormat="1" x14ac:dyDescent="0.25">
      <c r="B95" s="4" t="str">
        <f t="shared" si="10"/>
        <v>Mission</v>
      </c>
      <c r="C95" s="155">
        <f t="shared" si="13"/>
        <v>149</v>
      </c>
      <c r="D95" s="124">
        <f t="shared" si="13"/>
        <v>15155000</v>
      </c>
      <c r="E95" s="125">
        <f t="shared" si="11"/>
        <v>1.5</v>
      </c>
      <c r="F95" s="125">
        <f t="shared" si="12"/>
        <v>10</v>
      </c>
      <c r="H95"/>
      <c r="I95"/>
      <c r="J95"/>
      <c r="K95"/>
      <c r="L95"/>
    </row>
    <row r="96" spans="2:12" s="4" customFormat="1" x14ac:dyDescent="0.25">
      <c r="B96" s="4" t="str">
        <f t="shared" si="10"/>
        <v>Mission</v>
      </c>
      <c r="C96" s="155">
        <f t="shared" si="13"/>
        <v>704</v>
      </c>
      <c r="D96" s="124">
        <f t="shared" si="13"/>
        <v>6909000</v>
      </c>
      <c r="E96" s="125">
        <f t="shared" si="11"/>
        <v>1.5</v>
      </c>
      <c r="F96" s="125">
        <f t="shared" si="12"/>
        <v>10</v>
      </c>
      <c r="H96"/>
      <c r="I96"/>
      <c r="J96"/>
      <c r="K96"/>
      <c r="L96"/>
    </row>
    <row r="97" spans="2:12" s="4" customFormat="1" x14ac:dyDescent="0.25">
      <c r="B97" s="4" t="str">
        <f t="shared" si="10"/>
        <v>Mission</v>
      </c>
      <c r="C97" s="155">
        <f t="shared" si="13"/>
        <v>143</v>
      </c>
      <c r="D97" s="124">
        <f t="shared" si="13"/>
        <v>1689000</v>
      </c>
      <c r="E97" s="125">
        <f t="shared" si="11"/>
        <v>1.42</v>
      </c>
      <c r="F97" s="125">
        <f t="shared" si="12"/>
        <v>9.44</v>
      </c>
      <c r="H97"/>
      <c r="I97"/>
      <c r="J97"/>
      <c r="K97"/>
      <c r="L97"/>
    </row>
    <row r="98" spans="2:12" s="4" customFormat="1" hidden="1" x14ac:dyDescent="0.25">
      <c r="B98" s="4" t="str">
        <f t="shared" si="10"/>
        <v>Mission</v>
      </c>
      <c r="C98" s="155" t="str">
        <f t="shared" si="13"/>
        <v>Multiple</v>
      </c>
      <c r="D98" s="124">
        <f t="shared" si="13"/>
        <v>0</v>
      </c>
      <c r="E98" s="125">
        <f t="shared" si="11"/>
        <v>0</v>
      </c>
      <c r="F98" s="125">
        <f t="shared" si="12"/>
        <v>0</v>
      </c>
      <c r="H98"/>
      <c r="I98"/>
      <c r="J98"/>
      <c r="K98"/>
      <c r="L98"/>
    </row>
    <row r="99" spans="2:12" s="4" customFormat="1" hidden="1" x14ac:dyDescent="0.25">
      <c r="B99" s="4" t="str">
        <f t="shared" si="10"/>
        <v>Mission</v>
      </c>
      <c r="C99" s="155" t="str">
        <f t="shared" si="13"/>
        <v>Multiple</v>
      </c>
      <c r="D99" s="124">
        <f t="shared" si="13"/>
        <v>0</v>
      </c>
      <c r="E99" s="125">
        <f t="shared" si="11"/>
        <v>0</v>
      </c>
      <c r="F99" s="125">
        <f t="shared" si="12"/>
        <v>0</v>
      </c>
      <c r="H99"/>
      <c r="I99"/>
      <c r="J99"/>
      <c r="K99"/>
      <c r="L99"/>
    </row>
    <row r="100" spans="2:12" s="4" customFormat="1" x14ac:dyDescent="0.25">
      <c r="B100" s="4" t="str">
        <f t="shared" si="10"/>
        <v>Murray</v>
      </c>
      <c r="C100" s="155" t="str">
        <f t="shared" si="13"/>
        <v>Murray</v>
      </c>
      <c r="D100" s="124">
        <f t="shared" si="13"/>
        <v>4989000</v>
      </c>
      <c r="E100" s="125">
        <f t="shared" si="11"/>
        <v>1.38</v>
      </c>
      <c r="F100" s="125">
        <f t="shared" si="12"/>
        <v>9.17</v>
      </c>
      <c r="H100"/>
      <c r="I100"/>
      <c r="J100"/>
      <c r="K100"/>
      <c r="L100"/>
    </row>
    <row r="101" spans="2:12" s="4" customFormat="1" x14ac:dyDescent="0.25">
      <c r="B101" s="4" t="str">
        <f t="shared" ref="B101:B112" si="14">IF(AND(ISTEXT(C101),NOT(C101="Multiple"),NOT(C101="(blank)")),C101,B100)</f>
        <v>Murray</v>
      </c>
      <c r="C101" s="155">
        <f t="shared" si="13"/>
        <v>85</v>
      </c>
      <c r="D101" s="124">
        <f t="shared" si="13"/>
        <v>3654800</v>
      </c>
      <c r="E101" s="125">
        <f t="shared" ref="E101:E132" si="15">IF(ISNA(MATCH($C101,$I$182:$AM$182,0)),E279,INDEX($I$188:$AM$188,1,MATCH($C101,$I$182:$AM$182,0)))</f>
        <v>0.57999999999999996</v>
      </c>
      <c r="F101" s="125">
        <f t="shared" ref="F101:F132" si="16">IF(ISNA(MATCH($C101,$I$182:$AM$182,0)),F279,INDEX($I$189:$AM$189,1,MATCH($C101,$I$182:$AM$182,0)))</f>
        <v>3.88</v>
      </c>
      <c r="H101"/>
      <c r="I101"/>
      <c r="J101"/>
      <c r="K101"/>
      <c r="L101"/>
    </row>
    <row r="102" spans="2:12" s="4" customFormat="1" x14ac:dyDescent="0.25">
      <c r="B102" s="4" t="str">
        <f t="shared" si="14"/>
        <v>Murray</v>
      </c>
      <c r="C102" s="155">
        <f t="shared" si="13"/>
        <v>88</v>
      </c>
      <c r="D102" s="124">
        <f t="shared" si="13"/>
        <v>1334200</v>
      </c>
      <c r="E102" s="125">
        <f t="shared" si="15"/>
        <v>1.38</v>
      </c>
      <c r="F102" s="125">
        <f t="shared" si="16"/>
        <v>9.17</v>
      </c>
      <c r="H102"/>
      <c r="I102"/>
      <c r="J102"/>
      <c r="K102"/>
      <c r="L102"/>
    </row>
    <row r="103" spans="2:12" s="4" customFormat="1" x14ac:dyDescent="0.25">
      <c r="B103" s="4" t="str">
        <f t="shared" si="14"/>
        <v>North City West</v>
      </c>
      <c r="C103" s="155" t="str">
        <f t="shared" si="13"/>
        <v>North City West</v>
      </c>
      <c r="D103" s="124">
        <f t="shared" si="13"/>
        <v>9016000</v>
      </c>
      <c r="E103" s="125">
        <f t="shared" si="15"/>
        <v>1.5</v>
      </c>
      <c r="F103" s="125">
        <f t="shared" si="16"/>
        <v>9.98</v>
      </c>
      <c r="H103"/>
      <c r="I103"/>
      <c r="J103"/>
      <c r="K103"/>
      <c r="L103"/>
    </row>
    <row r="104" spans="2:12" s="4" customFormat="1" x14ac:dyDescent="0.25">
      <c r="B104" s="4" t="str">
        <f t="shared" si="14"/>
        <v>North City West</v>
      </c>
      <c r="C104" s="155">
        <f t="shared" si="13"/>
        <v>831</v>
      </c>
      <c r="D104" s="124">
        <f t="shared" si="13"/>
        <v>3549000</v>
      </c>
      <c r="E104" s="125">
        <f t="shared" si="15"/>
        <v>1.33</v>
      </c>
      <c r="F104" s="125">
        <f t="shared" si="16"/>
        <v>8.8800000000000008</v>
      </c>
      <c r="H104"/>
      <c r="I104"/>
      <c r="J104"/>
      <c r="K104"/>
      <c r="L104"/>
    </row>
    <row r="105" spans="2:12" s="4" customFormat="1" x14ac:dyDescent="0.25">
      <c r="B105" s="4" t="str">
        <f t="shared" si="14"/>
        <v>North City West</v>
      </c>
      <c r="C105" s="155">
        <f t="shared" ref="C105:D105" si="17">C283</f>
        <v>830</v>
      </c>
      <c r="D105" s="124">
        <f t="shared" si="17"/>
        <v>917000</v>
      </c>
      <c r="E105" s="125">
        <f t="shared" si="15"/>
        <v>1.5</v>
      </c>
      <c r="F105" s="125">
        <f t="shared" si="16"/>
        <v>9.98</v>
      </c>
      <c r="H105"/>
      <c r="I105"/>
      <c r="J105"/>
      <c r="K105"/>
      <c r="L105"/>
    </row>
    <row r="106" spans="2:12" s="4" customFormat="1" x14ac:dyDescent="0.25">
      <c r="B106" s="4" t="str">
        <f t="shared" si="14"/>
        <v>North City West</v>
      </c>
      <c r="C106" s="155">
        <f t="shared" ref="C106:D112" si="18">C284</f>
        <v>833</v>
      </c>
      <c r="D106" s="124">
        <f t="shared" si="18"/>
        <v>2044000</v>
      </c>
      <c r="E106" s="125">
        <f t="shared" si="15"/>
        <v>1.4</v>
      </c>
      <c r="F106" s="125">
        <f t="shared" si="16"/>
        <v>9.35</v>
      </c>
      <c r="H106"/>
      <c r="I106"/>
      <c r="J106"/>
      <c r="K106"/>
      <c r="L106"/>
    </row>
    <row r="107" spans="2:12" s="4" customFormat="1" x14ac:dyDescent="0.25">
      <c r="B107" s="4" t="str">
        <f t="shared" si="14"/>
        <v>North City West</v>
      </c>
      <c r="C107" s="155">
        <f t="shared" si="18"/>
        <v>832</v>
      </c>
      <c r="D107" s="124">
        <f t="shared" si="18"/>
        <v>2506000</v>
      </c>
      <c r="E107" s="125">
        <f t="shared" si="15"/>
        <v>1.01</v>
      </c>
      <c r="F107" s="125">
        <f t="shared" si="16"/>
        <v>6.75</v>
      </c>
      <c r="H107"/>
      <c r="I107"/>
      <c r="J107"/>
      <c r="K107"/>
      <c r="L107"/>
    </row>
    <row r="108" spans="2:12" s="4" customFormat="1" x14ac:dyDescent="0.25">
      <c r="B108" s="4" t="str">
        <f t="shared" si="14"/>
        <v>Old Town</v>
      </c>
      <c r="C108" s="155" t="str">
        <f t="shared" si="18"/>
        <v>Old Town</v>
      </c>
      <c r="D108" s="124">
        <f t="shared" si="18"/>
        <v>32011000</v>
      </c>
      <c r="E108" s="125">
        <f t="shared" si="15"/>
        <v>1.5</v>
      </c>
      <c r="F108" s="125">
        <f t="shared" si="16"/>
        <v>9.98</v>
      </c>
      <c r="H108"/>
      <c r="I108"/>
      <c r="J108"/>
      <c r="K108"/>
      <c r="L108"/>
    </row>
    <row r="109" spans="2:12" s="4" customFormat="1" x14ac:dyDescent="0.25">
      <c r="B109" s="4" t="str">
        <f t="shared" si="14"/>
        <v>Old Town</v>
      </c>
      <c r="C109" s="155">
        <f t="shared" si="18"/>
        <v>100</v>
      </c>
      <c r="D109" s="124">
        <f t="shared" si="18"/>
        <v>17367000</v>
      </c>
      <c r="E109" s="125">
        <f t="shared" si="15"/>
        <v>1.46</v>
      </c>
      <c r="F109" s="125">
        <f t="shared" si="16"/>
        <v>9.75</v>
      </c>
      <c r="H109"/>
      <c r="I109"/>
      <c r="J109"/>
      <c r="K109"/>
      <c r="L109"/>
    </row>
    <row r="110" spans="2:12" s="4" customFormat="1" x14ac:dyDescent="0.25">
      <c r="B110" s="4" t="str">
        <f t="shared" si="14"/>
        <v>Old Town</v>
      </c>
      <c r="C110" s="155">
        <f t="shared" si="18"/>
        <v>136</v>
      </c>
      <c r="D110" s="124">
        <f t="shared" si="18"/>
        <v>4305000</v>
      </c>
      <c r="E110" s="125">
        <f t="shared" si="15"/>
        <v>1.49</v>
      </c>
      <c r="F110" s="125">
        <f t="shared" si="16"/>
        <v>9.9600000000000009</v>
      </c>
      <c r="H110"/>
      <c r="I110"/>
      <c r="J110"/>
      <c r="K110"/>
      <c r="L110"/>
    </row>
    <row r="111" spans="2:12" s="4" customFormat="1" x14ac:dyDescent="0.25">
      <c r="B111" s="4" t="str">
        <f t="shared" si="14"/>
        <v>Old Town</v>
      </c>
      <c r="C111" s="155">
        <f t="shared" si="18"/>
        <v>491</v>
      </c>
      <c r="D111" s="124">
        <f t="shared" si="18"/>
        <v>3598000</v>
      </c>
      <c r="E111" s="125">
        <f t="shared" si="15"/>
        <v>1.5</v>
      </c>
      <c r="F111" s="125">
        <f t="shared" si="16"/>
        <v>9.98</v>
      </c>
      <c r="H111"/>
      <c r="I111"/>
      <c r="J111"/>
      <c r="K111"/>
      <c r="L111"/>
    </row>
    <row r="112" spans="2:12" s="4" customFormat="1" x14ac:dyDescent="0.25">
      <c r="B112" s="4" t="str">
        <f t="shared" si="14"/>
        <v>Old Town</v>
      </c>
      <c r="C112" s="155">
        <f t="shared" si="18"/>
        <v>60</v>
      </c>
      <c r="D112" s="124">
        <f t="shared" si="18"/>
        <v>1274000</v>
      </c>
      <c r="E112" s="125">
        <f t="shared" si="15"/>
        <v>1.19</v>
      </c>
      <c r="F112" s="125">
        <f t="shared" si="16"/>
        <v>7.92</v>
      </c>
      <c r="H112"/>
      <c r="I112"/>
      <c r="J112"/>
      <c r="K112"/>
      <c r="L112"/>
    </row>
    <row r="113" spans="2:12" s="4" customFormat="1" x14ac:dyDescent="0.25">
      <c r="B113" s="4" t="str">
        <f t="shared" ref="B113:B123" si="19">IF(AND(ISTEXT(C113),NOT(C113="Multiple"),NOT(C113="(blank)")),C113,B112)</f>
        <v>Old Town</v>
      </c>
      <c r="C113" s="155">
        <f t="shared" ref="C113:D113" si="20">C291</f>
        <v>124</v>
      </c>
      <c r="D113" s="124">
        <f t="shared" si="20"/>
        <v>5467000</v>
      </c>
      <c r="E113" s="125">
        <f t="shared" si="15"/>
        <v>0.79</v>
      </c>
      <c r="F113" s="125">
        <f t="shared" si="16"/>
        <v>5.26</v>
      </c>
      <c r="H113"/>
      <c r="I113"/>
      <c r="J113"/>
      <c r="K113"/>
      <c r="L113"/>
    </row>
    <row r="114" spans="2:12" s="4" customFormat="1" x14ac:dyDescent="0.25">
      <c r="B114" s="4" t="str">
        <f t="shared" si="19"/>
        <v>Pacific Beach</v>
      </c>
      <c r="C114" s="155" t="str">
        <f t="shared" ref="C114:D114" si="21">C292</f>
        <v>Pacific Beach</v>
      </c>
      <c r="D114" s="124">
        <f t="shared" si="21"/>
        <v>6160000</v>
      </c>
      <c r="E114" s="125">
        <f t="shared" si="15"/>
        <v>1.45</v>
      </c>
      <c r="F114" s="125">
        <f t="shared" si="16"/>
        <v>9.6999999999999993</v>
      </c>
      <c r="H114"/>
      <c r="I114"/>
      <c r="J114"/>
      <c r="K114"/>
      <c r="L114"/>
    </row>
    <row r="115" spans="2:12" s="4" customFormat="1" x14ac:dyDescent="0.25">
      <c r="B115" s="4" t="str">
        <f t="shared" si="19"/>
        <v>Pacific Beach</v>
      </c>
      <c r="C115" s="155">
        <f t="shared" ref="C115:D115" si="22">C293</f>
        <v>546</v>
      </c>
      <c r="D115" s="124">
        <f t="shared" si="22"/>
        <v>2254000</v>
      </c>
      <c r="E115" s="125">
        <f t="shared" si="15"/>
        <v>1.45</v>
      </c>
      <c r="F115" s="125">
        <f t="shared" si="16"/>
        <v>9.6999999999999993</v>
      </c>
      <c r="H115"/>
      <c r="I115"/>
      <c r="J115"/>
      <c r="K115"/>
      <c r="L115"/>
    </row>
    <row r="116" spans="2:12" s="4" customFormat="1" x14ac:dyDescent="0.25">
      <c r="B116" s="4" t="str">
        <f t="shared" si="19"/>
        <v>Pacific Beach</v>
      </c>
      <c r="C116" s="155">
        <f t="shared" ref="C116:D116" si="23">C294</f>
        <v>545</v>
      </c>
      <c r="D116" s="124">
        <f t="shared" si="23"/>
        <v>3906000</v>
      </c>
      <c r="E116" s="125">
        <f t="shared" si="15"/>
        <v>1.43</v>
      </c>
      <c r="F116" s="125">
        <f t="shared" si="16"/>
        <v>9.56</v>
      </c>
      <c r="H116"/>
      <c r="I116"/>
      <c r="J116"/>
      <c r="K116"/>
      <c r="L116"/>
    </row>
    <row r="117" spans="2:12" s="4" customFormat="1" x14ac:dyDescent="0.25">
      <c r="B117" s="4" t="str">
        <f t="shared" si="19"/>
        <v>Paradise</v>
      </c>
      <c r="C117" s="155" t="str">
        <f t="shared" ref="C117:D117" si="24">C295</f>
        <v>Paradise</v>
      </c>
      <c r="D117" s="124">
        <f t="shared" si="24"/>
        <v>2459500</v>
      </c>
      <c r="E117" s="125">
        <f t="shared" si="15"/>
        <v>1.33</v>
      </c>
      <c r="F117" s="125">
        <f t="shared" si="16"/>
        <v>8.8699999999999992</v>
      </c>
      <c r="H117"/>
      <c r="I117"/>
      <c r="J117"/>
      <c r="K117"/>
      <c r="L117"/>
    </row>
    <row r="118" spans="2:12" s="4" customFormat="1" x14ac:dyDescent="0.25">
      <c r="B118" s="4" t="str">
        <f t="shared" si="19"/>
        <v>Paradise</v>
      </c>
      <c r="C118" s="155">
        <f t="shared" ref="C118:D118" si="25">C296</f>
        <v>323</v>
      </c>
      <c r="D118" s="124">
        <f t="shared" si="25"/>
        <v>2459500</v>
      </c>
      <c r="E118" s="125">
        <f t="shared" si="15"/>
        <v>1.33</v>
      </c>
      <c r="F118" s="125">
        <f t="shared" si="16"/>
        <v>8.8699999999999992</v>
      </c>
      <c r="H118"/>
      <c r="I118"/>
      <c r="J118"/>
      <c r="K118"/>
      <c r="L118"/>
    </row>
    <row r="119" spans="2:12" s="4" customFormat="1" x14ac:dyDescent="0.25">
      <c r="B119" s="4" t="str">
        <f t="shared" si="19"/>
        <v>Point Loma</v>
      </c>
      <c r="C119" s="155" t="str">
        <f t="shared" ref="C119:D119" si="26">C297</f>
        <v>Point Loma</v>
      </c>
      <c r="D119" s="124">
        <f t="shared" si="26"/>
        <v>16102000</v>
      </c>
      <c r="E119" s="125">
        <f t="shared" si="15"/>
        <v>1.5</v>
      </c>
      <c r="F119" s="125">
        <f t="shared" si="16"/>
        <v>10</v>
      </c>
      <c r="H119"/>
      <c r="I119"/>
      <c r="J119"/>
      <c r="K119"/>
      <c r="L119"/>
    </row>
    <row r="120" spans="2:12" s="4" customFormat="1" x14ac:dyDescent="0.25">
      <c r="B120" s="4" t="str">
        <f t="shared" si="19"/>
        <v>Point Loma</v>
      </c>
      <c r="C120" s="155">
        <f t="shared" ref="C120:D120" si="27">C298</f>
        <v>50</v>
      </c>
      <c r="D120" s="124">
        <f t="shared" si="27"/>
        <v>5306000</v>
      </c>
      <c r="E120" s="125">
        <f t="shared" si="15"/>
        <v>1.44</v>
      </c>
      <c r="F120" s="125">
        <f t="shared" si="16"/>
        <v>9.6199999999999992</v>
      </c>
      <c r="H120"/>
      <c r="I120"/>
      <c r="J120"/>
      <c r="K120"/>
      <c r="L120"/>
    </row>
    <row r="121" spans="2:12" s="4" customFormat="1" x14ac:dyDescent="0.25">
      <c r="B121" s="4" t="str">
        <f t="shared" si="19"/>
        <v>Point Loma</v>
      </c>
      <c r="C121" s="155">
        <f t="shared" ref="C121:D121" si="28">C299</f>
        <v>55</v>
      </c>
      <c r="D121" s="124">
        <f t="shared" si="28"/>
        <v>2148000</v>
      </c>
      <c r="E121" s="125">
        <f t="shared" si="15"/>
        <v>1.46</v>
      </c>
      <c r="F121" s="125">
        <f t="shared" si="16"/>
        <v>9.74</v>
      </c>
      <c r="H121"/>
      <c r="I121"/>
      <c r="J121"/>
      <c r="K121"/>
      <c r="L121"/>
    </row>
    <row r="122" spans="2:12" s="4" customFormat="1" x14ac:dyDescent="0.25">
      <c r="B122" s="4" t="str">
        <f t="shared" si="19"/>
        <v>Point Loma</v>
      </c>
      <c r="C122" s="155">
        <f t="shared" ref="C122:D122" si="29">C300</f>
        <v>740</v>
      </c>
      <c r="D122" s="124">
        <f t="shared" si="29"/>
        <v>4203000</v>
      </c>
      <c r="E122" s="125">
        <f t="shared" si="15"/>
        <v>1.29</v>
      </c>
      <c r="F122" s="125">
        <f t="shared" si="16"/>
        <v>8.6199999999999992</v>
      </c>
      <c r="H122"/>
      <c r="I122"/>
      <c r="J122"/>
      <c r="K122"/>
      <c r="L122"/>
    </row>
    <row r="123" spans="2:12" s="4" customFormat="1" x14ac:dyDescent="0.25">
      <c r="B123" s="4" t="str">
        <f t="shared" si="19"/>
        <v>Point Loma</v>
      </c>
      <c r="C123" s="155">
        <f t="shared" ref="C123:D123" si="30">C301</f>
        <v>741</v>
      </c>
      <c r="D123" s="124">
        <f t="shared" si="30"/>
        <v>4445000</v>
      </c>
      <c r="E123" s="125">
        <f t="shared" si="15"/>
        <v>1.5</v>
      </c>
      <c r="F123" s="125">
        <f t="shared" si="16"/>
        <v>10</v>
      </c>
      <c r="H123"/>
      <c r="I123"/>
      <c r="J123"/>
      <c r="K123"/>
      <c r="L123"/>
    </row>
    <row r="124" spans="2:12" s="4" customFormat="1" hidden="1" x14ac:dyDescent="0.25">
      <c r="B124" s="4" t="str">
        <f t="shared" ref="B124:B149" si="31">IF(AND(ISTEXT(C124),NOT(C124="Multiple"),NOT(C124="(blank)")),C124,B123)</f>
        <v>Point Loma</v>
      </c>
      <c r="C124" s="155" t="str">
        <f t="shared" ref="C124:D124" si="32">C302</f>
        <v>Multiple</v>
      </c>
      <c r="D124" s="124">
        <f t="shared" si="32"/>
        <v>0</v>
      </c>
      <c r="E124" s="125">
        <f t="shared" si="15"/>
        <v>0</v>
      </c>
      <c r="F124" s="125">
        <f t="shared" si="16"/>
        <v>0</v>
      </c>
      <c r="H124"/>
      <c r="I124"/>
      <c r="J124"/>
      <c r="K124"/>
      <c r="L124"/>
    </row>
    <row r="125" spans="2:12" s="4" customFormat="1" x14ac:dyDescent="0.25">
      <c r="B125" s="4" t="str">
        <f t="shared" si="31"/>
        <v>Rancho Carmel</v>
      </c>
      <c r="C125" s="155" t="str">
        <f t="shared" ref="C125:D125" si="33">C303</f>
        <v>Rancho Carmel</v>
      </c>
      <c r="D125" s="124">
        <f t="shared" si="33"/>
        <v>18402000</v>
      </c>
      <c r="E125" s="125">
        <f t="shared" si="15"/>
        <v>1.49</v>
      </c>
      <c r="F125" s="125">
        <f t="shared" si="16"/>
        <v>9.91</v>
      </c>
      <c r="H125"/>
      <c r="I125"/>
      <c r="J125"/>
      <c r="K125"/>
      <c r="L125"/>
    </row>
    <row r="126" spans="2:12" s="4" customFormat="1" x14ac:dyDescent="0.25">
      <c r="B126" s="4" t="str">
        <f t="shared" si="31"/>
        <v>Rancho Carmel</v>
      </c>
      <c r="C126" s="155">
        <f t="shared" ref="C126:D126" si="34">C304</f>
        <v>934</v>
      </c>
      <c r="D126" s="124">
        <f t="shared" si="34"/>
        <v>8875000</v>
      </c>
      <c r="E126" s="125">
        <f t="shared" si="15"/>
        <v>1.49</v>
      </c>
      <c r="F126" s="125">
        <f t="shared" si="16"/>
        <v>9.91</v>
      </c>
      <c r="H126"/>
      <c r="I126"/>
      <c r="J126"/>
      <c r="K126"/>
      <c r="L126"/>
    </row>
    <row r="127" spans="2:12" s="4" customFormat="1" x14ac:dyDescent="0.25">
      <c r="B127" s="4" t="str">
        <f t="shared" si="31"/>
        <v>Rancho Carmel</v>
      </c>
      <c r="C127" s="155">
        <f t="shared" ref="C127:D127" si="35">C305</f>
        <v>937</v>
      </c>
      <c r="D127" s="124">
        <f t="shared" si="35"/>
        <v>3779000</v>
      </c>
      <c r="E127" s="125">
        <f t="shared" si="15"/>
        <v>1.4</v>
      </c>
      <c r="F127" s="125">
        <f t="shared" si="16"/>
        <v>9.33</v>
      </c>
      <c r="H127"/>
      <c r="I127"/>
      <c r="J127"/>
      <c r="K127"/>
      <c r="L127"/>
    </row>
    <row r="128" spans="2:12" s="4" customFormat="1" x14ac:dyDescent="0.25">
      <c r="B128" s="4" t="str">
        <f t="shared" si="31"/>
        <v>Rancho Carmel</v>
      </c>
      <c r="C128" s="155">
        <f t="shared" ref="C128:D128" si="36">C306</f>
        <v>936</v>
      </c>
      <c r="D128" s="124">
        <f t="shared" si="36"/>
        <v>2992000</v>
      </c>
      <c r="E128" s="125">
        <f t="shared" si="15"/>
        <v>1.38</v>
      </c>
      <c r="F128" s="125">
        <f t="shared" si="16"/>
        <v>9.23</v>
      </c>
      <c r="H128"/>
      <c r="I128"/>
      <c r="J128"/>
      <c r="K128"/>
      <c r="L128"/>
    </row>
    <row r="129" spans="2:12" s="4" customFormat="1" x14ac:dyDescent="0.25">
      <c r="B129" s="4" t="str">
        <f t="shared" si="31"/>
        <v>Rancho Carmel</v>
      </c>
      <c r="C129" s="155">
        <f t="shared" ref="C129:D129" si="37">C307</f>
        <v>930</v>
      </c>
      <c r="D129" s="124">
        <f t="shared" si="37"/>
        <v>2756000</v>
      </c>
      <c r="E129" s="125">
        <f t="shared" si="15"/>
        <v>1.03</v>
      </c>
      <c r="F129" s="125">
        <f t="shared" si="16"/>
        <v>6.85</v>
      </c>
      <c r="H129"/>
      <c r="I129"/>
      <c r="J129"/>
      <c r="K129"/>
      <c r="L129"/>
    </row>
    <row r="130" spans="2:12" s="4" customFormat="1" x14ac:dyDescent="0.25">
      <c r="B130" s="4" t="str">
        <f t="shared" si="31"/>
        <v>Rose Canyon</v>
      </c>
      <c r="C130" s="155" t="str">
        <f t="shared" ref="C130:D130" si="38">C308</f>
        <v>Rose Canyon</v>
      </c>
      <c r="D130" s="124">
        <f t="shared" si="38"/>
        <v>11665500</v>
      </c>
      <c r="E130" s="125">
        <f t="shared" si="15"/>
        <v>1.48</v>
      </c>
      <c r="F130" s="125">
        <f t="shared" si="16"/>
        <v>9.89</v>
      </c>
      <c r="H130"/>
      <c r="I130"/>
      <c r="J130"/>
      <c r="K130"/>
      <c r="L130"/>
    </row>
    <row r="131" spans="2:12" s="4" customFormat="1" x14ac:dyDescent="0.25">
      <c r="B131" s="4" t="str">
        <f t="shared" si="31"/>
        <v>Rose Canyon</v>
      </c>
      <c r="C131" s="155">
        <f t="shared" ref="C131:D131" si="39">C309</f>
        <v>65</v>
      </c>
      <c r="D131" s="124">
        <f t="shared" si="39"/>
        <v>7287000</v>
      </c>
      <c r="E131" s="125">
        <f t="shared" si="15"/>
        <v>1.24</v>
      </c>
      <c r="F131" s="125">
        <f t="shared" si="16"/>
        <v>8.26</v>
      </c>
      <c r="H131"/>
      <c r="I131"/>
      <c r="J131"/>
      <c r="K131"/>
      <c r="L131"/>
    </row>
    <row r="132" spans="2:12" s="4" customFormat="1" x14ac:dyDescent="0.25">
      <c r="B132" s="4" t="str">
        <f t="shared" si="31"/>
        <v>Rose Canyon</v>
      </c>
      <c r="C132" s="155">
        <f t="shared" ref="C132:D132" si="40">C310</f>
        <v>120</v>
      </c>
      <c r="D132" s="124">
        <f t="shared" si="40"/>
        <v>763000</v>
      </c>
      <c r="E132" s="125">
        <f t="shared" si="15"/>
        <v>1.4</v>
      </c>
      <c r="F132" s="125">
        <f t="shared" si="16"/>
        <v>9.31</v>
      </c>
      <c r="H132"/>
      <c r="I132"/>
      <c r="J132"/>
      <c r="K132"/>
      <c r="L132"/>
    </row>
    <row r="133" spans="2:12" s="4" customFormat="1" x14ac:dyDescent="0.25">
      <c r="B133" s="4" t="str">
        <f t="shared" si="31"/>
        <v>Rose Canyon</v>
      </c>
      <c r="C133" s="155">
        <f t="shared" ref="C133:D133" si="41">C311</f>
        <v>273</v>
      </c>
      <c r="D133" s="124">
        <f t="shared" si="41"/>
        <v>966000</v>
      </c>
      <c r="E133" s="125">
        <f t="shared" ref="E133:E164" si="42">IF(ISNA(MATCH($C133,$I$182:$AM$182,0)),E311,INDEX($I$188:$AM$188,1,MATCH($C133,$I$182:$AM$182,0)))</f>
        <v>1.48</v>
      </c>
      <c r="F133" s="125">
        <f t="shared" ref="F133:F164" si="43">IF(ISNA(MATCH($C133,$I$182:$AM$182,0)),F311,INDEX($I$189:$AM$189,1,MATCH($C133,$I$182:$AM$182,0)))</f>
        <v>9.89</v>
      </c>
      <c r="H133"/>
      <c r="I133"/>
      <c r="J133"/>
      <c r="K133"/>
      <c r="L133"/>
    </row>
    <row r="134" spans="2:12" s="4" customFormat="1" x14ac:dyDescent="0.25">
      <c r="B134" s="4" t="str">
        <f t="shared" si="31"/>
        <v>Rose Canyon</v>
      </c>
      <c r="C134" s="155">
        <f t="shared" ref="C134:D134" si="44">C312</f>
        <v>69</v>
      </c>
      <c r="D134" s="124">
        <f t="shared" si="44"/>
        <v>2649500</v>
      </c>
      <c r="E134" s="125">
        <f t="shared" si="42"/>
        <v>1.44</v>
      </c>
      <c r="F134" s="125">
        <f t="shared" si="43"/>
        <v>9.6300000000000008</v>
      </c>
      <c r="H134"/>
      <c r="I134"/>
      <c r="J134"/>
      <c r="K134"/>
      <c r="L134"/>
    </row>
    <row r="135" spans="2:12" s="4" customFormat="1" x14ac:dyDescent="0.25">
      <c r="B135" s="4" t="str">
        <f t="shared" si="31"/>
        <v>Sampson</v>
      </c>
      <c r="C135" s="155" t="str">
        <f t="shared" ref="C135:D135" si="45">C313</f>
        <v>Sampson</v>
      </c>
      <c r="D135" s="124">
        <f t="shared" si="45"/>
        <v>18573500</v>
      </c>
      <c r="E135" s="125">
        <f t="shared" si="42"/>
        <v>1.59</v>
      </c>
      <c r="F135" s="125">
        <f t="shared" si="43"/>
        <v>10.6</v>
      </c>
      <c r="H135"/>
      <c r="I135"/>
      <c r="J135"/>
      <c r="K135"/>
      <c r="L135"/>
    </row>
    <row r="136" spans="2:12" s="4" customFormat="1" x14ac:dyDescent="0.25">
      <c r="B136" s="4" t="str">
        <f t="shared" si="31"/>
        <v>Sampson</v>
      </c>
      <c r="C136" s="155">
        <f t="shared" ref="C136:D136" si="46">C314</f>
        <v>128</v>
      </c>
      <c r="D136" s="124">
        <f t="shared" si="46"/>
        <v>2261000</v>
      </c>
      <c r="E136" s="125">
        <f t="shared" si="42"/>
        <v>1.5</v>
      </c>
      <c r="F136" s="125">
        <f t="shared" si="43"/>
        <v>10</v>
      </c>
      <c r="H136"/>
      <c r="I136"/>
      <c r="J136"/>
      <c r="K136"/>
      <c r="L136"/>
    </row>
    <row r="137" spans="2:12" s="4" customFormat="1" x14ac:dyDescent="0.25">
      <c r="B137" s="4" t="str">
        <f t="shared" si="31"/>
        <v>Sampson</v>
      </c>
      <c r="C137" s="155">
        <f t="shared" ref="C137:D137" si="47">C315</f>
        <v>129</v>
      </c>
      <c r="D137" s="124">
        <f t="shared" si="47"/>
        <v>4321500</v>
      </c>
      <c r="E137" s="125">
        <f t="shared" si="42"/>
        <v>1.44</v>
      </c>
      <c r="F137" s="125">
        <f t="shared" si="43"/>
        <v>9.66</v>
      </c>
      <c r="H137"/>
      <c r="I137"/>
      <c r="J137"/>
      <c r="K137"/>
      <c r="L137"/>
    </row>
    <row r="138" spans="2:12" s="4" customFormat="1" x14ac:dyDescent="0.25">
      <c r="B138" s="4" t="str">
        <f t="shared" si="31"/>
        <v>Sampson</v>
      </c>
      <c r="C138" s="155">
        <f t="shared" ref="C138:D138" si="48">C316</f>
        <v>130</v>
      </c>
      <c r="D138" s="124">
        <f t="shared" si="48"/>
        <v>2401000</v>
      </c>
      <c r="E138" s="125">
        <f t="shared" si="42"/>
        <v>1.35</v>
      </c>
      <c r="F138" s="125">
        <f t="shared" si="43"/>
        <v>9.02</v>
      </c>
      <c r="H138"/>
      <c r="I138"/>
      <c r="J138"/>
      <c r="K138"/>
      <c r="L138"/>
    </row>
    <row r="139" spans="2:12" s="4" customFormat="1" hidden="1" x14ac:dyDescent="0.25">
      <c r="B139" s="4" t="str">
        <f t="shared" si="31"/>
        <v>Sampson</v>
      </c>
      <c r="C139" s="155" t="str">
        <f t="shared" ref="C139:D139" si="49">C317</f>
        <v>Multiple</v>
      </c>
      <c r="D139" s="124">
        <f t="shared" si="49"/>
        <v>0</v>
      </c>
      <c r="E139" s="125">
        <f t="shared" si="42"/>
        <v>0</v>
      </c>
      <c r="F139" s="125">
        <f t="shared" si="43"/>
        <v>0</v>
      </c>
      <c r="H139"/>
      <c r="I139"/>
      <c r="J139"/>
      <c r="K139"/>
      <c r="L139"/>
    </row>
    <row r="140" spans="2:12" s="4" customFormat="1" x14ac:dyDescent="0.25">
      <c r="B140" s="4" t="str">
        <f t="shared" si="31"/>
        <v>Sampson</v>
      </c>
      <c r="C140" s="155">
        <f t="shared" ref="C140:D140" si="50">C318</f>
        <v>131</v>
      </c>
      <c r="D140" s="124">
        <f t="shared" si="50"/>
        <v>7301000</v>
      </c>
      <c r="E140" s="125">
        <f t="shared" si="42"/>
        <v>1.59</v>
      </c>
      <c r="F140" s="125">
        <f t="shared" si="43"/>
        <v>10.6</v>
      </c>
      <c r="H140"/>
      <c r="I140"/>
      <c r="J140"/>
      <c r="K140"/>
      <c r="L140"/>
    </row>
    <row r="141" spans="2:12" s="4" customFormat="1" x14ac:dyDescent="0.25">
      <c r="B141" s="4" t="str">
        <f t="shared" si="31"/>
        <v>Sampson</v>
      </c>
      <c r="C141" s="155">
        <f t="shared" ref="C141:D141" si="51">C319</f>
        <v>123</v>
      </c>
      <c r="D141" s="124">
        <f t="shared" si="51"/>
        <v>2289000</v>
      </c>
      <c r="E141" s="125">
        <f t="shared" si="42"/>
        <v>1.48</v>
      </c>
      <c r="F141" s="125">
        <f t="shared" si="43"/>
        <v>9.84</v>
      </c>
      <c r="H141"/>
      <c r="I141"/>
      <c r="J141"/>
      <c r="K141"/>
      <c r="L141"/>
    </row>
    <row r="142" spans="2:12" s="4" customFormat="1" x14ac:dyDescent="0.25">
      <c r="B142" s="4" t="str">
        <f t="shared" si="31"/>
        <v>San Ysidro</v>
      </c>
      <c r="C142" s="155" t="str">
        <f t="shared" ref="C142:D142" si="52">C320</f>
        <v>San Ysidro</v>
      </c>
      <c r="D142" s="124">
        <f t="shared" si="52"/>
        <v>16412700</v>
      </c>
      <c r="E142" s="125">
        <f t="shared" si="42"/>
        <v>1.48</v>
      </c>
      <c r="F142" s="125">
        <f t="shared" si="43"/>
        <v>9.89</v>
      </c>
      <c r="H142"/>
      <c r="I142"/>
      <c r="J142"/>
      <c r="K142"/>
      <c r="L142"/>
    </row>
    <row r="143" spans="2:12" s="4" customFormat="1" x14ac:dyDescent="0.25">
      <c r="B143" s="4" t="str">
        <f t="shared" si="31"/>
        <v>San Ysidro</v>
      </c>
      <c r="C143" s="155">
        <f t="shared" ref="C143:D143" si="53">C321</f>
        <v>334</v>
      </c>
      <c r="D143" s="124">
        <f t="shared" si="53"/>
        <v>701400</v>
      </c>
      <c r="E143" s="125">
        <f t="shared" si="42"/>
        <v>1.22</v>
      </c>
      <c r="F143" s="125">
        <f t="shared" si="43"/>
        <v>8.11</v>
      </c>
      <c r="H143"/>
      <c r="I143"/>
      <c r="J143"/>
      <c r="K143"/>
      <c r="L143"/>
    </row>
    <row r="144" spans="2:12" s="4" customFormat="1" x14ac:dyDescent="0.25">
      <c r="B144" s="4" t="str">
        <f t="shared" si="31"/>
        <v>San Ysidro</v>
      </c>
      <c r="C144" s="155">
        <f t="shared" ref="C144:D144" si="54">C322</f>
        <v>460</v>
      </c>
      <c r="D144" s="124">
        <f t="shared" si="54"/>
        <v>6846000</v>
      </c>
      <c r="E144" s="125">
        <f t="shared" si="42"/>
        <v>1.23</v>
      </c>
      <c r="F144" s="125">
        <f t="shared" si="43"/>
        <v>8.19</v>
      </c>
      <c r="H144"/>
      <c r="I144"/>
      <c r="J144"/>
      <c r="K144"/>
      <c r="L144"/>
    </row>
    <row r="145" spans="2:12" s="4" customFormat="1" x14ac:dyDescent="0.25">
      <c r="B145" s="4" t="str">
        <f t="shared" si="31"/>
        <v>San Ysidro</v>
      </c>
      <c r="C145" s="155">
        <f t="shared" ref="C145:D145" si="55">C323</f>
        <v>461</v>
      </c>
      <c r="D145" s="124">
        <f t="shared" si="55"/>
        <v>534000</v>
      </c>
      <c r="E145" s="125">
        <f t="shared" si="42"/>
        <v>1.44</v>
      </c>
      <c r="F145" s="125">
        <f t="shared" si="43"/>
        <v>9.6199999999999992</v>
      </c>
      <c r="H145"/>
      <c r="I145"/>
      <c r="J145"/>
      <c r="K145"/>
      <c r="L145"/>
    </row>
    <row r="146" spans="2:12" s="4" customFormat="1" x14ac:dyDescent="0.25">
      <c r="B146" s="4" t="str">
        <f t="shared" si="31"/>
        <v>San Ysidro</v>
      </c>
      <c r="C146" s="155">
        <f t="shared" ref="C146:D146" si="56">C324</f>
        <v>1201</v>
      </c>
      <c r="D146" s="124">
        <f t="shared" si="56"/>
        <v>8331300</v>
      </c>
      <c r="E146" s="125">
        <f t="shared" si="42"/>
        <v>1.48</v>
      </c>
      <c r="F146" s="125">
        <f t="shared" si="43"/>
        <v>9.89</v>
      </c>
      <c r="H146"/>
      <c r="I146"/>
      <c r="J146"/>
      <c r="K146"/>
      <c r="L146"/>
    </row>
    <row r="147" spans="2:12" s="4" customFormat="1" hidden="1" x14ac:dyDescent="0.25">
      <c r="B147" s="4" t="str">
        <f t="shared" si="31"/>
        <v>San Ysidro</v>
      </c>
      <c r="C147" s="155" t="str">
        <f t="shared" ref="C147:D147" si="57">C325</f>
        <v>Multiple</v>
      </c>
      <c r="D147" s="124">
        <f t="shared" si="57"/>
        <v>0</v>
      </c>
      <c r="E147" s="125">
        <f t="shared" si="42"/>
        <v>0</v>
      </c>
      <c r="F147" s="125">
        <f t="shared" si="43"/>
        <v>0</v>
      </c>
      <c r="H147"/>
      <c r="I147"/>
      <c r="J147"/>
      <c r="K147"/>
      <c r="L147"/>
    </row>
    <row r="148" spans="2:12" s="4" customFormat="1" x14ac:dyDescent="0.25">
      <c r="B148" s="4" t="str">
        <f t="shared" si="31"/>
        <v>Scripps</v>
      </c>
      <c r="C148" s="155" t="str">
        <f t="shared" ref="C148:D148" si="58">C326</f>
        <v>Scripps</v>
      </c>
      <c r="D148" s="124">
        <f t="shared" si="58"/>
        <v>9671000</v>
      </c>
      <c r="E148" s="125">
        <f t="shared" si="42"/>
        <v>1.36</v>
      </c>
      <c r="F148" s="125">
        <f t="shared" si="43"/>
        <v>9.07</v>
      </c>
      <c r="H148"/>
      <c r="I148"/>
      <c r="J148"/>
      <c r="K148"/>
      <c r="L148"/>
    </row>
    <row r="149" spans="2:12" s="4" customFormat="1" x14ac:dyDescent="0.25">
      <c r="B149" s="4" t="str">
        <f t="shared" si="31"/>
        <v>Scripps</v>
      </c>
      <c r="C149" s="155">
        <f t="shared" ref="C149:D149" si="59">C327</f>
        <v>438</v>
      </c>
      <c r="D149" s="124">
        <f t="shared" si="59"/>
        <v>3133000</v>
      </c>
      <c r="E149" s="125">
        <f t="shared" si="42"/>
        <v>1.21</v>
      </c>
      <c r="F149" s="125">
        <f t="shared" si="43"/>
        <v>8.0500000000000007</v>
      </c>
      <c r="H149"/>
      <c r="I149"/>
      <c r="J149"/>
      <c r="K149"/>
      <c r="L149"/>
    </row>
    <row r="150" spans="2:12" s="4" customFormat="1" x14ac:dyDescent="0.25">
      <c r="B150" s="4" t="str">
        <f t="shared" ref="B150:B175" si="60">IF(AND(ISTEXT(C150),NOT(C150="Multiple"),NOT(C150="(blank)")),C150,B149)</f>
        <v>Scripps</v>
      </c>
      <c r="C150" s="155">
        <f t="shared" ref="C150:D150" si="61">C328</f>
        <v>435</v>
      </c>
      <c r="D150" s="124">
        <f t="shared" si="61"/>
        <v>4760000</v>
      </c>
      <c r="E150" s="125">
        <f t="shared" si="42"/>
        <v>1.31</v>
      </c>
      <c r="F150" s="125">
        <f t="shared" si="43"/>
        <v>8.76</v>
      </c>
      <c r="H150"/>
      <c r="I150"/>
      <c r="J150"/>
      <c r="K150"/>
      <c r="L150"/>
    </row>
    <row r="151" spans="2:12" s="4" customFormat="1" x14ac:dyDescent="0.25">
      <c r="B151" s="4" t="str">
        <f t="shared" si="60"/>
        <v>Scripps</v>
      </c>
      <c r="C151" s="155">
        <f t="shared" ref="C151:D151" si="62">C329</f>
        <v>729</v>
      </c>
      <c r="D151" s="124">
        <f t="shared" si="62"/>
        <v>1778000</v>
      </c>
      <c r="E151" s="125">
        <f t="shared" si="42"/>
        <v>1.36</v>
      </c>
      <c r="F151" s="125">
        <f t="shared" si="43"/>
        <v>9.07</v>
      </c>
      <c r="H151"/>
      <c r="I151"/>
      <c r="J151"/>
      <c r="K151"/>
      <c r="L151"/>
    </row>
    <row r="152" spans="2:12" s="4" customFormat="1" x14ac:dyDescent="0.25">
      <c r="B152" s="4" t="str">
        <f t="shared" si="60"/>
        <v>Station B</v>
      </c>
      <c r="C152" s="155" t="str">
        <f t="shared" ref="C152:D152" si="63">C330</f>
        <v>Station B</v>
      </c>
      <c r="D152" s="124">
        <f t="shared" si="63"/>
        <v>1869000</v>
      </c>
      <c r="E152" s="125">
        <f t="shared" si="42"/>
        <v>1.22</v>
      </c>
      <c r="F152" s="125">
        <f t="shared" si="43"/>
        <v>8.1199999999999992</v>
      </c>
    </row>
    <row r="153" spans="2:12" s="4" customFormat="1" x14ac:dyDescent="0.25">
      <c r="B153" s="4" t="str">
        <f t="shared" si="60"/>
        <v>Station B</v>
      </c>
      <c r="C153" s="155">
        <f t="shared" ref="C153:D153" si="64">C331</f>
        <v>756</v>
      </c>
      <c r="D153" s="124">
        <f t="shared" si="64"/>
        <v>1869000</v>
      </c>
      <c r="E153" s="125">
        <f t="shared" si="42"/>
        <v>1.22</v>
      </c>
      <c r="F153" s="125">
        <f t="shared" si="43"/>
        <v>8.1199999999999992</v>
      </c>
    </row>
    <row r="154" spans="2:12" s="4" customFormat="1" x14ac:dyDescent="0.25">
      <c r="B154" s="4" t="str">
        <f t="shared" si="60"/>
        <v>Station F</v>
      </c>
      <c r="C154" s="155" t="str">
        <f t="shared" ref="C154:D154" si="65">C332</f>
        <v>Station F</v>
      </c>
      <c r="D154" s="124">
        <f t="shared" si="65"/>
        <v>8386000</v>
      </c>
      <c r="E154" s="125">
        <f t="shared" si="42"/>
        <v>1.41</v>
      </c>
      <c r="F154" s="125">
        <f t="shared" si="43"/>
        <v>9.41</v>
      </c>
    </row>
    <row r="155" spans="2:12" s="4" customFormat="1" x14ac:dyDescent="0.25">
      <c r="B155" s="4" t="str">
        <f t="shared" si="60"/>
        <v>Station F</v>
      </c>
      <c r="C155" s="155">
        <f t="shared" ref="C155:D155" si="66">C333</f>
        <v>362</v>
      </c>
      <c r="D155" s="124">
        <f t="shared" si="66"/>
        <v>8386000</v>
      </c>
      <c r="E155" s="125">
        <f t="shared" si="42"/>
        <v>1.41</v>
      </c>
      <c r="F155" s="125">
        <f t="shared" si="43"/>
        <v>9.41</v>
      </c>
    </row>
    <row r="156" spans="2:12" s="4" customFormat="1" x14ac:dyDescent="0.25">
      <c r="B156" s="4" t="str">
        <f t="shared" si="60"/>
        <v>Streamview</v>
      </c>
      <c r="C156" s="155" t="str">
        <f t="shared" ref="C156:D156" si="67">C334</f>
        <v>Streamview</v>
      </c>
      <c r="D156" s="124">
        <f t="shared" si="67"/>
        <v>9287500</v>
      </c>
      <c r="E156" s="125">
        <f t="shared" si="42"/>
        <v>1.59</v>
      </c>
      <c r="F156" s="125">
        <f t="shared" si="43"/>
        <v>10.6</v>
      </c>
    </row>
    <row r="157" spans="2:12" s="4" customFormat="1" x14ac:dyDescent="0.25">
      <c r="B157" s="4" t="str">
        <f t="shared" si="60"/>
        <v>Streamview</v>
      </c>
      <c r="C157" s="155">
        <f t="shared" ref="C157:D157" si="68">C335</f>
        <v>167</v>
      </c>
      <c r="D157" s="124">
        <f t="shared" si="68"/>
        <v>1512000</v>
      </c>
      <c r="E157" s="125">
        <f t="shared" si="42"/>
        <v>0.47</v>
      </c>
      <c r="F157" s="125">
        <f t="shared" si="43"/>
        <v>3.12</v>
      </c>
    </row>
    <row r="158" spans="2:12" s="4" customFormat="1" x14ac:dyDescent="0.25">
      <c r="B158" s="4" t="str">
        <f t="shared" si="60"/>
        <v>Streamview</v>
      </c>
      <c r="C158" s="155">
        <f t="shared" ref="C158:D158" si="69">C336</f>
        <v>168</v>
      </c>
      <c r="D158" s="124">
        <f t="shared" si="69"/>
        <v>3190500</v>
      </c>
      <c r="E158" s="125">
        <f t="shared" si="42"/>
        <v>1.29</v>
      </c>
      <c r="F158" s="125">
        <f t="shared" si="43"/>
        <v>8.61</v>
      </c>
    </row>
    <row r="159" spans="2:12" s="4" customFormat="1" x14ac:dyDescent="0.25">
      <c r="B159" s="4" t="str">
        <f t="shared" si="60"/>
        <v>Streamview</v>
      </c>
      <c r="C159" s="155">
        <f t="shared" ref="C159:D159" si="70">C337</f>
        <v>430</v>
      </c>
      <c r="D159" s="124">
        <f t="shared" si="70"/>
        <v>3038000</v>
      </c>
      <c r="E159" s="125">
        <f t="shared" si="42"/>
        <v>1.59</v>
      </c>
      <c r="F159" s="125">
        <f t="shared" si="43"/>
        <v>10.6</v>
      </c>
    </row>
    <row r="160" spans="2:12" s="4" customFormat="1" x14ac:dyDescent="0.25">
      <c r="B160" s="4" t="str">
        <f t="shared" si="60"/>
        <v>Streamview</v>
      </c>
      <c r="C160" s="155">
        <f t="shared" ref="C160:D160" si="71">C338</f>
        <v>169</v>
      </c>
      <c r="D160" s="124">
        <f t="shared" si="71"/>
        <v>1547000</v>
      </c>
      <c r="E160" s="125">
        <f t="shared" si="42"/>
        <v>1.31</v>
      </c>
      <c r="F160" s="125">
        <f t="shared" si="43"/>
        <v>8.7100000000000009</v>
      </c>
    </row>
    <row r="161" spans="2:6" s="4" customFormat="1" x14ac:dyDescent="0.25">
      <c r="B161" s="4" t="str">
        <f t="shared" si="60"/>
        <v>Torrey Pines</v>
      </c>
      <c r="C161" s="155" t="str">
        <f t="shared" ref="C161:D161" si="72">C339</f>
        <v>Torrey Pines</v>
      </c>
      <c r="D161" s="124">
        <f t="shared" si="72"/>
        <v>4767000</v>
      </c>
      <c r="E161" s="125">
        <f t="shared" si="42"/>
        <v>1.5</v>
      </c>
      <c r="F161" s="125">
        <f t="shared" si="43"/>
        <v>10</v>
      </c>
    </row>
    <row r="162" spans="2:6" s="4" customFormat="1" x14ac:dyDescent="0.25">
      <c r="B162" s="4" t="str">
        <f t="shared" si="60"/>
        <v>Torrey Pines</v>
      </c>
      <c r="C162" s="155">
        <f t="shared" ref="C162:D162" si="73">C340</f>
        <v>735</v>
      </c>
      <c r="D162" s="124">
        <f t="shared" si="73"/>
        <v>882000</v>
      </c>
      <c r="E162" s="125">
        <f t="shared" si="42"/>
        <v>1.5</v>
      </c>
      <c r="F162" s="125">
        <f t="shared" si="43"/>
        <v>10</v>
      </c>
    </row>
    <row r="163" spans="2:6" s="4" customFormat="1" x14ac:dyDescent="0.25">
      <c r="B163" s="4" t="str">
        <f t="shared" si="60"/>
        <v>Torrey Pines</v>
      </c>
      <c r="C163" s="155">
        <f t="shared" ref="C163:D163" si="74">C341</f>
        <v>737</v>
      </c>
      <c r="D163" s="124">
        <f t="shared" si="74"/>
        <v>2450000</v>
      </c>
      <c r="E163" s="125">
        <f t="shared" si="42"/>
        <v>1.5</v>
      </c>
      <c r="F163" s="125">
        <f t="shared" si="43"/>
        <v>10</v>
      </c>
    </row>
    <row r="164" spans="2:6" s="4" customFormat="1" x14ac:dyDescent="0.25">
      <c r="B164" s="4" t="str">
        <f t="shared" si="60"/>
        <v>Torrey Pines</v>
      </c>
      <c r="C164" s="155">
        <f t="shared" ref="C164:D164" si="75">C342</f>
        <v>266</v>
      </c>
      <c r="D164" s="124">
        <f t="shared" si="75"/>
        <v>1435000</v>
      </c>
      <c r="E164" s="125">
        <f t="shared" si="42"/>
        <v>1.1399999999999999</v>
      </c>
      <c r="F164" s="125">
        <f t="shared" si="43"/>
        <v>7.57</v>
      </c>
    </row>
    <row r="165" spans="2:6" s="4" customFormat="1" x14ac:dyDescent="0.25">
      <c r="B165" s="4" t="str">
        <f t="shared" si="60"/>
        <v>Urban</v>
      </c>
      <c r="C165" s="155" t="str">
        <f t="shared" ref="C165:D165" si="76">C343</f>
        <v>Urban</v>
      </c>
      <c r="D165" s="124">
        <f t="shared" si="76"/>
        <v>12740000</v>
      </c>
      <c r="E165" s="125">
        <f t="shared" ref="E165:E178" si="77">IF(ISNA(MATCH($C165,$I$182:$AM$182,0)),E343,INDEX($I$188:$AM$188,1,MATCH($C165,$I$182:$AM$182,0)))</f>
        <v>1.49</v>
      </c>
      <c r="F165" s="125">
        <f t="shared" ref="F165:F178" si="78">IF(ISNA(MATCH($C165,$I$182:$AM$182,0)),F343,INDEX($I$189:$AM$189,1,MATCH($C165,$I$182:$AM$182,0)))</f>
        <v>9.9600000000000009</v>
      </c>
    </row>
    <row r="166" spans="2:6" s="4" customFormat="1" x14ac:dyDescent="0.25">
      <c r="B166" s="4" t="str">
        <f t="shared" si="60"/>
        <v>Urban</v>
      </c>
      <c r="C166" s="155">
        <f t="shared" ref="C166:D166" si="79">C344</f>
        <v>426</v>
      </c>
      <c r="D166" s="124">
        <f t="shared" si="79"/>
        <v>10066000</v>
      </c>
      <c r="E166" s="125">
        <f t="shared" si="77"/>
        <v>1.41</v>
      </c>
      <c r="F166" s="125">
        <f t="shared" si="78"/>
        <v>9.39</v>
      </c>
    </row>
    <row r="167" spans="2:6" s="4" customFormat="1" x14ac:dyDescent="0.25">
      <c r="B167" s="4" t="str">
        <f t="shared" si="60"/>
        <v>Urban</v>
      </c>
      <c r="C167" s="155">
        <f t="shared" ref="C167:D167" si="80">C345</f>
        <v>465</v>
      </c>
      <c r="D167" s="124">
        <f t="shared" si="80"/>
        <v>1673000</v>
      </c>
      <c r="E167" s="125">
        <f t="shared" si="77"/>
        <v>0.88</v>
      </c>
      <c r="F167" s="125">
        <f t="shared" si="78"/>
        <v>5.87</v>
      </c>
    </row>
    <row r="168" spans="2:6" s="4" customFormat="1" x14ac:dyDescent="0.25">
      <c r="B168" s="4" t="str">
        <f t="shared" si="60"/>
        <v>Urban</v>
      </c>
      <c r="C168" s="155">
        <f t="shared" ref="C168:D168" si="81">C346</f>
        <v>427</v>
      </c>
      <c r="D168" s="124">
        <f t="shared" si="81"/>
        <v>1001000</v>
      </c>
      <c r="E168" s="125">
        <f t="shared" si="77"/>
        <v>1.49</v>
      </c>
      <c r="F168" s="125">
        <f t="shared" si="78"/>
        <v>9.9600000000000009</v>
      </c>
    </row>
    <row r="169" spans="2:6" s="4" customFormat="1" hidden="1" x14ac:dyDescent="0.25">
      <c r="B169" s="4" t="str">
        <f t="shared" si="60"/>
        <v>ZZZ-END</v>
      </c>
      <c r="C169" s="155" t="str">
        <f t="shared" ref="C169:D169" si="82">C347</f>
        <v>ZZZ-END</v>
      </c>
      <c r="D169" s="124">
        <f t="shared" si="82"/>
        <v>0</v>
      </c>
      <c r="E169" s="125">
        <f t="shared" si="77"/>
        <v>0</v>
      </c>
      <c r="F169" s="125">
        <f t="shared" si="78"/>
        <v>0</v>
      </c>
    </row>
    <row r="170" spans="2:6" s="4" customFormat="1" hidden="1" x14ac:dyDescent="0.25">
      <c r="B170" s="4" t="str">
        <f t="shared" si="60"/>
        <v>ZZZ-END</v>
      </c>
      <c r="C170" s="155" t="str">
        <f t="shared" ref="C170:D170" si="83">C348</f>
        <v>ZZZ-END</v>
      </c>
      <c r="D170" s="124">
        <f t="shared" si="83"/>
        <v>0</v>
      </c>
      <c r="E170" s="125">
        <f t="shared" si="77"/>
        <v>0</v>
      </c>
      <c r="F170" s="125">
        <f t="shared" si="78"/>
        <v>0</v>
      </c>
    </row>
    <row r="171" spans="2:6" s="4" customFormat="1" hidden="1" x14ac:dyDescent="0.25">
      <c r="B171" s="4" t="str">
        <f t="shared" si="60"/>
        <v>ZZZ-END</v>
      </c>
      <c r="C171" s="155" t="str">
        <f t="shared" ref="C171:D171" si="84">C349</f>
        <v>(blank)</v>
      </c>
      <c r="D171" s="124">
        <f t="shared" si="84"/>
        <v>1050000</v>
      </c>
      <c r="E171" s="125">
        <f t="shared" si="77"/>
        <v>0</v>
      </c>
      <c r="F171" s="125">
        <f t="shared" si="78"/>
        <v>0</v>
      </c>
    </row>
    <row r="172" spans="2:6" s="4" customFormat="1" hidden="1" x14ac:dyDescent="0.25">
      <c r="B172" s="4" t="str">
        <f t="shared" si="60"/>
        <v>ZZZ-END</v>
      </c>
      <c r="C172" s="155" t="str">
        <f t="shared" ref="C172:D172" si="85">C350</f>
        <v>(blank)</v>
      </c>
      <c r="D172" s="124">
        <f t="shared" si="85"/>
        <v>1050000</v>
      </c>
      <c r="E172" s="125">
        <f t="shared" si="77"/>
        <v>0</v>
      </c>
      <c r="F172" s="125">
        <f t="shared" si="78"/>
        <v>0</v>
      </c>
    </row>
    <row r="173" spans="2:6" s="4" customFormat="1" x14ac:dyDescent="0.25">
      <c r="B173" s="4" t="str">
        <f t="shared" si="60"/>
        <v>Grand Total</v>
      </c>
      <c r="C173" s="155" t="str">
        <f t="shared" ref="C173:D173" si="86">C351</f>
        <v>Grand Total</v>
      </c>
      <c r="D173" s="124">
        <f t="shared" si="86"/>
        <v>498653020</v>
      </c>
      <c r="E173" s="125">
        <f t="shared" si="77"/>
        <v>1.77</v>
      </c>
      <c r="F173" s="125">
        <f t="shared" si="78"/>
        <v>11.82</v>
      </c>
    </row>
    <row r="174" spans="2:6" s="4" customFormat="1" x14ac:dyDescent="0.25">
      <c r="B174" s="4" t="str">
        <f t="shared" si="60"/>
        <v>Grand Total</v>
      </c>
      <c r="C174" s="155">
        <f t="shared" ref="C174:D174" si="87">C352</f>
        <v>0</v>
      </c>
      <c r="D174" s="124">
        <f t="shared" si="87"/>
        <v>0</v>
      </c>
      <c r="E174" s="125">
        <f t="shared" si="77"/>
        <v>0</v>
      </c>
      <c r="F174" s="125">
        <f t="shared" si="78"/>
        <v>0</v>
      </c>
    </row>
    <row r="175" spans="2:6" s="4" customFormat="1" x14ac:dyDescent="0.25">
      <c r="B175" s="4" t="str">
        <f t="shared" si="60"/>
        <v>Grand Total</v>
      </c>
      <c r="C175" s="155">
        <f t="shared" ref="C175:D175" si="88">C353</f>
        <v>0</v>
      </c>
      <c r="D175" s="124">
        <f t="shared" si="88"/>
        <v>0</v>
      </c>
      <c r="E175" s="125">
        <f t="shared" si="77"/>
        <v>0</v>
      </c>
      <c r="F175" s="125">
        <f t="shared" si="78"/>
        <v>0</v>
      </c>
    </row>
    <row r="176" spans="2:6" s="4" customFormat="1" x14ac:dyDescent="0.25">
      <c r="C176" s="155">
        <f t="shared" ref="C176:D176" si="89">C354</f>
        <v>0</v>
      </c>
      <c r="D176" s="124">
        <f t="shared" si="89"/>
        <v>0</v>
      </c>
      <c r="E176" s="125">
        <f t="shared" si="77"/>
        <v>0</v>
      </c>
      <c r="F176" s="125">
        <f t="shared" si="78"/>
        <v>0</v>
      </c>
    </row>
    <row r="177" spans="2:44" s="4" customFormat="1" x14ac:dyDescent="0.25">
      <c r="C177" s="155">
        <f t="shared" ref="C177:D177" si="90">C355</f>
        <v>0</v>
      </c>
      <c r="D177" s="124">
        <f t="shared" si="90"/>
        <v>0</v>
      </c>
      <c r="E177" s="125">
        <f t="shared" si="77"/>
        <v>0</v>
      </c>
      <c r="F177" s="125">
        <f t="shared" si="78"/>
        <v>0</v>
      </c>
    </row>
    <row r="178" spans="2:44" s="4" customFormat="1" x14ac:dyDescent="0.25">
      <c r="C178" s="155">
        <f t="shared" ref="C178:D178" si="91">C356</f>
        <v>0</v>
      </c>
      <c r="D178" s="124">
        <f t="shared" si="91"/>
        <v>0</v>
      </c>
      <c r="E178" s="125">
        <f t="shared" si="77"/>
        <v>0</v>
      </c>
      <c r="F178" s="125">
        <f t="shared" si="78"/>
        <v>0</v>
      </c>
    </row>
    <row r="179" spans="2:44" s="4" customFormat="1" x14ac:dyDescent="0.25">
      <c r="C179" s="147"/>
      <c r="D179" s="148"/>
      <c r="E179" s="149"/>
      <c r="F179" s="149"/>
    </row>
    <row r="180" spans="2:44" s="4" customFormat="1" x14ac:dyDescent="0.25"/>
    <row r="181" spans="2:44" x14ac:dyDescent="0.25">
      <c r="G181" s="4"/>
    </row>
    <row r="182" spans="2:44" x14ac:dyDescent="0.25">
      <c r="B182" s="4"/>
      <c r="C182" s="121" t="s">
        <v>234</v>
      </c>
      <c r="D182" s="4" t="s">
        <v>236</v>
      </c>
      <c r="E182" s="4" t="s">
        <v>877</v>
      </c>
      <c r="F182" s="4" t="s">
        <v>878</v>
      </c>
      <c r="G182" s="4"/>
    </row>
    <row r="183" spans="2:44" s="28" customFormat="1" x14ac:dyDescent="0.25">
      <c r="C183" s="56" t="s">
        <v>1239</v>
      </c>
      <c r="D183" s="67">
        <v>6521000</v>
      </c>
      <c r="E183" s="67">
        <v>1.23</v>
      </c>
      <c r="F183" s="67">
        <v>8.18</v>
      </c>
      <c r="G183" s="4"/>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row>
    <row r="184" spans="2:44" x14ac:dyDescent="0.25">
      <c r="B184" s="28"/>
      <c r="C184" s="47">
        <v>1104</v>
      </c>
      <c r="D184" s="67">
        <v>3364000</v>
      </c>
      <c r="E184" s="67">
        <v>0.88</v>
      </c>
      <c r="F184" s="67">
        <v>5.27</v>
      </c>
      <c r="G184" s="4"/>
    </row>
    <row r="185" spans="2:44" x14ac:dyDescent="0.25">
      <c r="B185" s="28"/>
      <c r="C185" s="47">
        <v>1100</v>
      </c>
      <c r="D185" s="67">
        <v>1393000</v>
      </c>
      <c r="E185" s="67">
        <v>1.23</v>
      </c>
      <c r="F185" s="67">
        <v>8.18</v>
      </c>
      <c r="G185" s="4"/>
    </row>
    <row r="186" spans="2:44" x14ac:dyDescent="0.25">
      <c r="B186" s="28"/>
      <c r="C186" s="47">
        <v>1102</v>
      </c>
      <c r="D186" s="67">
        <v>1764000</v>
      </c>
      <c r="E186" s="67">
        <v>1.23</v>
      </c>
      <c r="F186" s="67">
        <v>8.17</v>
      </c>
      <c r="G186" s="4"/>
    </row>
    <row r="187" spans="2:44" x14ac:dyDescent="0.25">
      <c r="B187" s="28"/>
      <c r="C187" s="56" t="s">
        <v>1251</v>
      </c>
      <c r="D187" s="67">
        <v>22977000</v>
      </c>
      <c r="E187" s="67">
        <v>1.75</v>
      </c>
      <c r="F187" s="67">
        <v>11.65</v>
      </c>
      <c r="G187" s="4"/>
    </row>
    <row r="188" spans="2:44" x14ac:dyDescent="0.25">
      <c r="B188" s="28"/>
      <c r="C188" s="47">
        <v>534</v>
      </c>
      <c r="D188" s="67">
        <v>2948000</v>
      </c>
      <c r="E188" s="67">
        <v>1.75</v>
      </c>
      <c r="F188" s="67">
        <v>11.65</v>
      </c>
      <c r="G188" s="4"/>
    </row>
    <row r="189" spans="2:44" x14ac:dyDescent="0.25">
      <c r="B189" s="28"/>
      <c r="C189" s="47">
        <v>537</v>
      </c>
      <c r="D189" s="67">
        <v>4330000</v>
      </c>
      <c r="E189" s="67">
        <v>1.46</v>
      </c>
      <c r="F189" s="67">
        <v>9.75</v>
      </c>
      <c r="G189" s="4"/>
    </row>
    <row r="190" spans="2:44" x14ac:dyDescent="0.25">
      <c r="B190" s="28"/>
      <c r="C190" s="47">
        <v>292</v>
      </c>
      <c r="D190" s="67">
        <v>1785000</v>
      </c>
      <c r="E190" s="67">
        <v>1.27</v>
      </c>
      <c r="F190" s="67">
        <v>8.4700000000000006</v>
      </c>
      <c r="G190" s="4"/>
    </row>
    <row r="191" spans="2:44" x14ac:dyDescent="0.25">
      <c r="B191" s="28"/>
      <c r="C191" s="47">
        <v>543</v>
      </c>
      <c r="D191" s="67">
        <v>7478000</v>
      </c>
      <c r="E191" s="67">
        <v>1.49</v>
      </c>
      <c r="F191" s="67">
        <v>9.9</v>
      </c>
    </row>
    <row r="192" spans="2:44" x14ac:dyDescent="0.25">
      <c r="B192" s="28"/>
      <c r="C192" s="47">
        <v>540</v>
      </c>
      <c r="D192" s="67">
        <v>0</v>
      </c>
      <c r="E192" s="67">
        <v>1.44</v>
      </c>
      <c r="F192" s="67">
        <v>9.6</v>
      </c>
    </row>
    <row r="193" spans="2:41" x14ac:dyDescent="0.25">
      <c r="B193" s="28"/>
      <c r="C193" s="47">
        <v>577</v>
      </c>
      <c r="D193" s="67">
        <v>3860000</v>
      </c>
      <c r="E193" s="67">
        <v>1.48</v>
      </c>
      <c r="F193" s="67">
        <v>9.9</v>
      </c>
      <c r="I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c r="AG193" s="28"/>
      <c r="AH193" s="28"/>
      <c r="AI193" s="28"/>
      <c r="AJ193" s="28"/>
      <c r="AK193" s="28"/>
      <c r="AL193" s="28"/>
      <c r="AM193" s="28"/>
      <c r="AN193" s="28"/>
      <c r="AO193" s="28"/>
    </row>
    <row r="194" spans="2:41" x14ac:dyDescent="0.25">
      <c r="B194" s="28"/>
      <c r="C194" s="47">
        <v>575</v>
      </c>
      <c r="D194" s="67">
        <v>2576000</v>
      </c>
      <c r="E194" s="67">
        <v>1.5</v>
      </c>
      <c r="F194" s="67">
        <v>10</v>
      </c>
    </row>
    <row r="195" spans="2:41" x14ac:dyDescent="0.25">
      <c r="B195" s="28"/>
      <c r="C195" s="56" t="s">
        <v>499</v>
      </c>
      <c r="D195" s="67">
        <v>52590300</v>
      </c>
      <c r="E195" s="67">
        <v>1.46</v>
      </c>
      <c r="F195" s="67">
        <v>9.76</v>
      </c>
    </row>
    <row r="196" spans="2:41" x14ac:dyDescent="0.25">
      <c r="C196" s="47">
        <v>533</v>
      </c>
      <c r="D196" s="67">
        <v>30612300</v>
      </c>
      <c r="E196" s="67">
        <v>1.35</v>
      </c>
      <c r="F196" s="67">
        <v>8.99</v>
      </c>
    </row>
    <row r="197" spans="2:41" x14ac:dyDescent="0.25">
      <c r="C197" s="47">
        <v>534</v>
      </c>
      <c r="D197" s="67">
        <v>5629000</v>
      </c>
      <c r="E197" s="67">
        <v>1.03</v>
      </c>
      <c r="F197" s="67">
        <v>6.87</v>
      </c>
    </row>
    <row r="198" spans="2:41" x14ac:dyDescent="0.25">
      <c r="C198" s="47">
        <v>535</v>
      </c>
      <c r="D198" s="67">
        <v>5006900</v>
      </c>
      <c r="E198" s="67">
        <v>1.41</v>
      </c>
      <c r="F198" s="67">
        <v>9.4</v>
      </c>
    </row>
    <row r="199" spans="2:41" x14ac:dyDescent="0.25">
      <c r="C199" s="47">
        <v>1160</v>
      </c>
      <c r="D199" s="67">
        <v>11342100</v>
      </c>
      <c r="E199" s="67">
        <v>1.46</v>
      </c>
      <c r="F199" s="67">
        <v>9.76</v>
      </c>
    </row>
    <row r="200" spans="2:41" x14ac:dyDescent="0.25">
      <c r="C200" s="56" t="s">
        <v>1357</v>
      </c>
      <c r="D200" s="67">
        <v>3514000</v>
      </c>
      <c r="E200" s="67">
        <v>1.08</v>
      </c>
      <c r="F200" s="67">
        <v>7.19</v>
      </c>
    </row>
    <row r="201" spans="2:41" x14ac:dyDescent="0.25">
      <c r="C201" s="47">
        <v>500</v>
      </c>
      <c r="D201" s="67">
        <v>2429000</v>
      </c>
      <c r="E201" s="67">
        <v>1.04</v>
      </c>
      <c r="F201" s="67">
        <v>6.91</v>
      </c>
    </row>
    <row r="202" spans="2:41" x14ac:dyDescent="0.25">
      <c r="C202" s="47">
        <v>910</v>
      </c>
      <c r="D202" s="67">
        <v>1085000</v>
      </c>
      <c r="E202" s="67">
        <v>1.08</v>
      </c>
      <c r="F202" s="67">
        <v>7.19</v>
      </c>
    </row>
    <row r="203" spans="2:41" x14ac:dyDescent="0.25">
      <c r="C203" s="56" t="s">
        <v>959</v>
      </c>
      <c r="D203" s="67">
        <v>6136000</v>
      </c>
      <c r="E203" s="67">
        <v>1.23</v>
      </c>
      <c r="F203" s="67">
        <v>8.19</v>
      </c>
    </row>
    <row r="204" spans="2:41" x14ac:dyDescent="0.25">
      <c r="C204" s="47">
        <v>164</v>
      </c>
      <c r="D204" s="67">
        <v>6136000</v>
      </c>
      <c r="E204" s="67">
        <v>1.23</v>
      </c>
      <c r="F204" s="67">
        <v>8.19</v>
      </c>
    </row>
    <row r="205" spans="2:41" x14ac:dyDescent="0.25">
      <c r="C205" s="56" t="s">
        <v>979</v>
      </c>
      <c r="D205" s="67">
        <v>8546900</v>
      </c>
      <c r="E205" s="67">
        <v>1.32</v>
      </c>
      <c r="F205" s="67">
        <v>8.77</v>
      </c>
    </row>
    <row r="206" spans="2:41" x14ac:dyDescent="0.25">
      <c r="C206" s="47">
        <v>274</v>
      </c>
      <c r="D206" s="67">
        <v>6924000</v>
      </c>
      <c r="E206" s="67">
        <v>1.17</v>
      </c>
      <c r="F206" s="67">
        <v>7.78</v>
      </c>
    </row>
    <row r="207" spans="2:41" x14ac:dyDescent="0.25">
      <c r="C207" s="47">
        <v>277</v>
      </c>
      <c r="D207" s="67">
        <v>736000</v>
      </c>
      <c r="E207" s="67">
        <v>1.27</v>
      </c>
      <c r="F207" s="67">
        <v>8.4700000000000006</v>
      </c>
    </row>
    <row r="208" spans="2:41" x14ac:dyDescent="0.25">
      <c r="C208" s="47">
        <v>279</v>
      </c>
      <c r="D208" s="67">
        <v>886900</v>
      </c>
      <c r="E208" s="67">
        <v>1.32</v>
      </c>
      <c r="F208" s="67">
        <v>8.77</v>
      </c>
    </row>
    <row r="209" spans="3:6" x14ac:dyDescent="0.25">
      <c r="C209" s="56" t="s">
        <v>608</v>
      </c>
      <c r="D209" s="67">
        <v>3666600</v>
      </c>
      <c r="E209" s="67">
        <v>1.5</v>
      </c>
      <c r="F209" s="67">
        <v>10</v>
      </c>
    </row>
    <row r="210" spans="3:6" x14ac:dyDescent="0.25">
      <c r="C210" s="47">
        <v>48</v>
      </c>
      <c r="D210" s="67">
        <v>3666600</v>
      </c>
      <c r="E210" s="67">
        <v>1.5</v>
      </c>
      <c r="F210" s="67">
        <v>10</v>
      </c>
    </row>
    <row r="211" spans="3:6" x14ac:dyDescent="0.25">
      <c r="C211" s="56" t="s">
        <v>1352</v>
      </c>
      <c r="D211" s="67">
        <v>2572000</v>
      </c>
      <c r="E211" s="67">
        <v>1.5</v>
      </c>
      <c r="F211" s="67">
        <v>10</v>
      </c>
    </row>
    <row r="212" spans="3:6" x14ac:dyDescent="0.25">
      <c r="C212" s="47">
        <v>968</v>
      </c>
      <c r="D212" s="67">
        <v>1200000</v>
      </c>
      <c r="E212" s="67">
        <v>1.49</v>
      </c>
      <c r="F212" s="67">
        <v>9.91</v>
      </c>
    </row>
    <row r="213" spans="3:6" x14ac:dyDescent="0.25">
      <c r="C213" s="47">
        <v>969</v>
      </c>
      <c r="D213" s="67">
        <v>1372000</v>
      </c>
      <c r="E213" s="67">
        <v>1.5</v>
      </c>
      <c r="F213" s="67">
        <v>10</v>
      </c>
    </row>
    <row r="214" spans="3:6" x14ac:dyDescent="0.25">
      <c r="C214" s="56" t="s">
        <v>960</v>
      </c>
      <c r="D214" s="67">
        <v>3613000</v>
      </c>
      <c r="E214" s="67">
        <v>1.32</v>
      </c>
      <c r="F214" s="67">
        <v>8.77</v>
      </c>
    </row>
    <row r="215" spans="3:6" x14ac:dyDescent="0.25">
      <c r="C215" s="47">
        <v>385</v>
      </c>
      <c r="D215" s="67">
        <v>3613000</v>
      </c>
      <c r="E215" s="67">
        <v>1.32</v>
      </c>
      <c r="F215" s="67">
        <v>8.77</v>
      </c>
    </row>
    <row r="216" spans="3:6" x14ac:dyDescent="0.25">
      <c r="C216" s="56" t="s">
        <v>956</v>
      </c>
      <c r="D216" s="67">
        <v>11389000</v>
      </c>
      <c r="E216" s="67">
        <v>1.5</v>
      </c>
      <c r="F216" s="67">
        <v>9.98</v>
      </c>
    </row>
    <row r="217" spans="3:6" x14ac:dyDescent="0.25">
      <c r="C217" s="47" t="s">
        <v>604</v>
      </c>
      <c r="D217" s="67">
        <v>0</v>
      </c>
      <c r="E217" s="67"/>
      <c r="F217" s="67"/>
    </row>
    <row r="218" spans="3:6" x14ac:dyDescent="0.25">
      <c r="C218" s="47">
        <v>39</v>
      </c>
      <c r="D218" s="67">
        <v>6314000</v>
      </c>
      <c r="E218" s="67">
        <v>1.5</v>
      </c>
      <c r="F218" s="67">
        <v>9.98</v>
      </c>
    </row>
    <row r="219" spans="3:6" x14ac:dyDescent="0.25">
      <c r="C219" s="47">
        <v>1060</v>
      </c>
      <c r="D219" s="67">
        <v>2282000</v>
      </c>
      <c r="E219" s="67">
        <v>1.46</v>
      </c>
      <c r="F219" s="67">
        <v>9.74</v>
      </c>
    </row>
    <row r="220" spans="3:6" x14ac:dyDescent="0.25">
      <c r="C220" s="47">
        <v>35</v>
      </c>
      <c r="D220" s="67">
        <v>2793000</v>
      </c>
      <c r="E220" s="67">
        <v>1.39</v>
      </c>
      <c r="F220" s="67">
        <v>9.25</v>
      </c>
    </row>
    <row r="221" spans="3:6" x14ac:dyDescent="0.25">
      <c r="C221" s="56" t="s">
        <v>680</v>
      </c>
      <c r="D221" s="67">
        <v>30719000</v>
      </c>
      <c r="E221" s="67">
        <v>1.5</v>
      </c>
      <c r="F221" s="67">
        <v>10</v>
      </c>
    </row>
    <row r="222" spans="3:6" x14ac:dyDescent="0.25">
      <c r="C222" s="47">
        <v>268</v>
      </c>
      <c r="D222" s="67">
        <v>4221000</v>
      </c>
      <c r="E222" s="67">
        <v>1.49</v>
      </c>
      <c r="F222" s="67">
        <v>9.9499999999999993</v>
      </c>
    </row>
    <row r="223" spans="3:6" x14ac:dyDescent="0.25">
      <c r="C223" s="47">
        <v>271</v>
      </c>
      <c r="D223" s="67">
        <v>3465000</v>
      </c>
      <c r="E223" s="67">
        <v>1.49</v>
      </c>
      <c r="F223" s="67">
        <v>9.9</v>
      </c>
    </row>
    <row r="224" spans="3:6" x14ac:dyDescent="0.25">
      <c r="C224" s="47">
        <v>272</v>
      </c>
      <c r="D224" s="67">
        <v>2324000</v>
      </c>
      <c r="E224" s="67">
        <v>1.34</v>
      </c>
      <c r="F224" s="67">
        <v>8.9499999999999993</v>
      </c>
    </row>
    <row r="225" spans="3:6" x14ac:dyDescent="0.25">
      <c r="C225" s="47" t="s">
        <v>604</v>
      </c>
      <c r="D225" s="67">
        <v>0</v>
      </c>
      <c r="E225" s="67"/>
      <c r="F225" s="67"/>
    </row>
    <row r="226" spans="3:6" x14ac:dyDescent="0.25">
      <c r="C226" s="47">
        <v>273</v>
      </c>
      <c r="D226" s="67">
        <v>9562000</v>
      </c>
      <c r="E226" s="67">
        <v>1.48</v>
      </c>
      <c r="F226" s="67">
        <v>9.89</v>
      </c>
    </row>
    <row r="227" spans="3:6" x14ac:dyDescent="0.25">
      <c r="C227" s="47">
        <v>270</v>
      </c>
      <c r="D227" s="67">
        <v>4448000</v>
      </c>
      <c r="E227" s="67">
        <v>1.5</v>
      </c>
      <c r="F227" s="67">
        <v>10</v>
      </c>
    </row>
    <row r="228" spans="3:6" x14ac:dyDescent="0.25">
      <c r="C228" s="47">
        <v>748</v>
      </c>
      <c r="D228" s="67">
        <v>1708000</v>
      </c>
      <c r="E228" s="67">
        <v>1.5</v>
      </c>
      <c r="F228" s="67">
        <v>10</v>
      </c>
    </row>
    <row r="229" spans="3:6" x14ac:dyDescent="0.25">
      <c r="C229" s="47">
        <v>745</v>
      </c>
      <c r="D229" s="67">
        <v>4991000</v>
      </c>
      <c r="E229" s="67">
        <v>1.46</v>
      </c>
      <c r="F229" s="67">
        <v>9.74</v>
      </c>
    </row>
    <row r="230" spans="3:6" x14ac:dyDescent="0.25">
      <c r="C230" s="56" t="s">
        <v>464</v>
      </c>
      <c r="D230" s="67">
        <v>1044400</v>
      </c>
      <c r="E230" s="67">
        <v>1.37</v>
      </c>
      <c r="F230" s="67">
        <v>9.11</v>
      </c>
    </row>
    <row r="231" spans="3:6" x14ac:dyDescent="0.25">
      <c r="C231" s="47">
        <v>1434</v>
      </c>
      <c r="D231" s="67">
        <v>1044400</v>
      </c>
      <c r="E231" s="67">
        <v>1.37</v>
      </c>
      <c r="F231" s="67">
        <v>9.11</v>
      </c>
    </row>
    <row r="232" spans="3:6" x14ac:dyDescent="0.25">
      <c r="C232" s="56" t="s">
        <v>495</v>
      </c>
      <c r="D232" s="67">
        <v>3591000</v>
      </c>
      <c r="E232" s="67">
        <v>1.4</v>
      </c>
      <c r="F232" s="67">
        <v>9.33</v>
      </c>
    </row>
    <row r="233" spans="3:6" x14ac:dyDescent="0.25">
      <c r="C233" s="47">
        <v>723</v>
      </c>
      <c r="D233" s="67">
        <v>3591000</v>
      </c>
      <c r="E233" s="67">
        <v>1.4</v>
      </c>
      <c r="F233" s="67">
        <v>9.33</v>
      </c>
    </row>
    <row r="234" spans="3:6" x14ac:dyDescent="0.25">
      <c r="C234" s="56" t="s">
        <v>776</v>
      </c>
      <c r="D234" s="67">
        <v>9859000</v>
      </c>
      <c r="E234" s="67">
        <v>1.5</v>
      </c>
      <c r="F234" s="67">
        <v>9.9700000000000006</v>
      </c>
    </row>
    <row r="235" spans="3:6" x14ac:dyDescent="0.25">
      <c r="C235" s="47">
        <v>711</v>
      </c>
      <c r="D235" s="67">
        <v>1400000</v>
      </c>
      <c r="E235" s="67">
        <v>1.5</v>
      </c>
      <c r="F235" s="67">
        <v>9.9700000000000006</v>
      </c>
    </row>
    <row r="236" spans="3:6" x14ac:dyDescent="0.25">
      <c r="C236" s="47">
        <v>251</v>
      </c>
      <c r="D236" s="67">
        <v>4135000</v>
      </c>
      <c r="E236" s="67">
        <v>0.98</v>
      </c>
      <c r="F236" s="67">
        <v>6.56</v>
      </c>
    </row>
    <row r="237" spans="3:6" x14ac:dyDescent="0.25">
      <c r="C237" s="47">
        <v>712</v>
      </c>
      <c r="D237" s="67">
        <v>1303000</v>
      </c>
      <c r="E237" s="67">
        <v>1.48</v>
      </c>
      <c r="F237" s="67">
        <v>9.84</v>
      </c>
    </row>
    <row r="238" spans="3:6" x14ac:dyDescent="0.25">
      <c r="C238" s="47">
        <v>348</v>
      </c>
      <c r="D238" s="67">
        <v>1561000</v>
      </c>
      <c r="E238" s="67">
        <v>0.78</v>
      </c>
      <c r="F238" s="67">
        <v>5.23</v>
      </c>
    </row>
    <row r="239" spans="3:6" x14ac:dyDescent="0.25">
      <c r="C239" s="47">
        <v>254</v>
      </c>
      <c r="D239" s="67">
        <v>1460000</v>
      </c>
      <c r="E239" s="67">
        <v>1.45</v>
      </c>
      <c r="F239" s="67">
        <v>9.66</v>
      </c>
    </row>
    <row r="240" spans="3:6" x14ac:dyDescent="0.25">
      <c r="C240" s="56" t="s">
        <v>598</v>
      </c>
      <c r="D240" s="67">
        <v>20916000</v>
      </c>
      <c r="E240" s="67">
        <v>1.5</v>
      </c>
      <c r="F240" s="67">
        <v>10</v>
      </c>
    </row>
    <row r="241" spans="3:6" x14ac:dyDescent="0.25">
      <c r="C241" s="47">
        <v>134</v>
      </c>
      <c r="D241" s="67">
        <v>13398000</v>
      </c>
      <c r="E241" s="67">
        <v>1.5</v>
      </c>
      <c r="F241" s="67">
        <v>10</v>
      </c>
    </row>
    <row r="242" spans="3:6" x14ac:dyDescent="0.25">
      <c r="C242" s="47">
        <v>135</v>
      </c>
      <c r="D242" s="67">
        <v>5348000</v>
      </c>
      <c r="E242" s="67">
        <v>1.41</v>
      </c>
      <c r="F242" s="67">
        <v>9.4</v>
      </c>
    </row>
    <row r="243" spans="3:6" x14ac:dyDescent="0.25">
      <c r="C243" s="47">
        <v>458</v>
      </c>
      <c r="D243" s="67">
        <v>2170000</v>
      </c>
      <c r="E243" s="67">
        <v>1.4</v>
      </c>
      <c r="F243" s="67">
        <v>9.33</v>
      </c>
    </row>
    <row r="244" spans="3:6" x14ac:dyDescent="0.25">
      <c r="C244" s="47" t="s">
        <v>604</v>
      </c>
      <c r="D244" s="67">
        <v>0</v>
      </c>
      <c r="E244" s="67"/>
      <c r="F244" s="67"/>
    </row>
    <row r="245" spans="3:6" x14ac:dyDescent="0.25">
      <c r="C245" s="47" t="s">
        <v>282</v>
      </c>
      <c r="D245" s="67">
        <v>0</v>
      </c>
      <c r="E245" s="67"/>
      <c r="F245" s="67"/>
    </row>
    <row r="246" spans="3:6" x14ac:dyDescent="0.25">
      <c r="C246" s="56" t="s">
        <v>777</v>
      </c>
      <c r="D246" s="67">
        <v>13378000</v>
      </c>
      <c r="E246" s="67">
        <v>1.77</v>
      </c>
      <c r="F246" s="67">
        <v>11.82</v>
      </c>
    </row>
    <row r="247" spans="3:6" x14ac:dyDescent="0.25">
      <c r="C247" s="47">
        <v>776</v>
      </c>
      <c r="D247" s="67">
        <v>2134000</v>
      </c>
      <c r="E247" s="67">
        <v>1.73</v>
      </c>
      <c r="F247" s="67">
        <v>11.5</v>
      </c>
    </row>
    <row r="248" spans="3:6" x14ac:dyDescent="0.25">
      <c r="C248" s="47">
        <v>775</v>
      </c>
      <c r="D248" s="67">
        <v>2545000</v>
      </c>
      <c r="E248" s="67">
        <v>1.77</v>
      </c>
      <c r="F248" s="67">
        <v>11.82</v>
      </c>
    </row>
    <row r="249" spans="3:6" x14ac:dyDescent="0.25">
      <c r="C249" s="47">
        <v>1286</v>
      </c>
      <c r="D249" s="67">
        <v>4774000</v>
      </c>
      <c r="E249" s="67">
        <v>1.76</v>
      </c>
      <c r="F249" s="67">
        <v>11.75</v>
      </c>
    </row>
    <row r="250" spans="3:6" x14ac:dyDescent="0.25">
      <c r="C250" s="47">
        <v>774</v>
      </c>
      <c r="D250" s="67">
        <v>3925000</v>
      </c>
      <c r="E250" s="67">
        <v>1.77</v>
      </c>
      <c r="F250" s="67">
        <v>11.79</v>
      </c>
    </row>
    <row r="251" spans="3:6" x14ac:dyDescent="0.25">
      <c r="C251" s="47">
        <v>772</v>
      </c>
      <c r="D251" s="67"/>
      <c r="E251" s="67">
        <v>1.76</v>
      </c>
      <c r="F251" s="67">
        <v>11.73</v>
      </c>
    </row>
    <row r="252" spans="3:6" x14ac:dyDescent="0.25">
      <c r="C252" s="56" t="s">
        <v>1353</v>
      </c>
      <c r="D252" s="67">
        <v>2499000</v>
      </c>
      <c r="E252" s="67">
        <v>1.49</v>
      </c>
      <c r="F252" s="67">
        <v>9.93</v>
      </c>
    </row>
    <row r="253" spans="3:6" x14ac:dyDescent="0.25">
      <c r="C253" s="47">
        <v>959</v>
      </c>
      <c r="D253" s="67">
        <v>2499000</v>
      </c>
      <c r="E253" s="67">
        <v>1.49</v>
      </c>
      <c r="F253" s="67">
        <v>9.93</v>
      </c>
    </row>
    <row r="254" spans="3:6" x14ac:dyDescent="0.25">
      <c r="C254" s="56" t="s">
        <v>466</v>
      </c>
      <c r="D254" s="67">
        <v>1071000</v>
      </c>
      <c r="E254" s="67">
        <v>1.41</v>
      </c>
      <c r="F254" s="67">
        <v>9.3699999999999992</v>
      </c>
    </row>
    <row r="255" spans="3:6" x14ac:dyDescent="0.25">
      <c r="C255" s="47">
        <v>962</v>
      </c>
      <c r="D255" s="67">
        <v>1071000</v>
      </c>
      <c r="E255" s="67">
        <v>1.41</v>
      </c>
      <c r="F255" s="67">
        <v>9.3699999999999992</v>
      </c>
    </row>
    <row r="256" spans="3:6" x14ac:dyDescent="0.25">
      <c r="C256" s="56" t="s">
        <v>465</v>
      </c>
      <c r="D256" s="67">
        <v>55505200</v>
      </c>
      <c r="E256" s="67">
        <v>1.48</v>
      </c>
      <c r="F256" s="67">
        <v>9.84</v>
      </c>
    </row>
    <row r="257" spans="3:6" x14ac:dyDescent="0.25">
      <c r="C257" s="47">
        <v>223</v>
      </c>
      <c r="D257" s="67">
        <v>48236200</v>
      </c>
      <c r="E257" s="67">
        <v>1.42</v>
      </c>
      <c r="F257" s="67">
        <v>9.4700000000000006</v>
      </c>
    </row>
    <row r="258" spans="3:6" x14ac:dyDescent="0.25">
      <c r="C258" s="47">
        <v>761</v>
      </c>
      <c r="D258" s="67">
        <v>2079000</v>
      </c>
      <c r="E258" s="67">
        <v>1.43</v>
      </c>
      <c r="F258" s="67">
        <v>9.5399999999999991</v>
      </c>
    </row>
    <row r="259" spans="3:6" x14ac:dyDescent="0.25">
      <c r="C259" s="47">
        <v>224</v>
      </c>
      <c r="D259" s="67">
        <v>1001000</v>
      </c>
      <c r="E259" s="67">
        <v>1.48</v>
      </c>
      <c r="F259" s="67">
        <v>9.84</v>
      </c>
    </row>
    <row r="260" spans="3:6" x14ac:dyDescent="0.25">
      <c r="C260" s="47">
        <v>229</v>
      </c>
      <c r="D260" s="67">
        <v>910000</v>
      </c>
      <c r="E260" s="67">
        <v>1.37</v>
      </c>
      <c r="F260" s="67">
        <v>9.1</v>
      </c>
    </row>
    <row r="261" spans="3:6" x14ac:dyDescent="0.25">
      <c r="C261" s="47">
        <v>228</v>
      </c>
      <c r="D261" s="67">
        <v>3279000</v>
      </c>
      <c r="E261" s="67">
        <v>1.42</v>
      </c>
      <c r="F261" s="67">
        <v>9.4600000000000009</v>
      </c>
    </row>
    <row r="262" spans="3:6" x14ac:dyDescent="0.25">
      <c r="C262" s="56" t="s">
        <v>1091</v>
      </c>
      <c r="D262" s="67">
        <v>8029000</v>
      </c>
      <c r="E262" s="67"/>
      <c r="F262" s="67"/>
    </row>
    <row r="263" spans="3:6" x14ac:dyDescent="0.25">
      <c r="C263" s="47" t="s">
        <v>748</v>
      </c>
      <c r="D263" s="67">
        <v>8029000</v>
      </c>
      <c r="E263" s="67"/>
      <c r="F263" s="67"/>
    </row>
    <row r="264" spans="3:6" x14ac:dyDescent="0.25">
      <c r="C264" s="47" t="s">
        <v>282</v>
      </c>
      <c r="D264" s="67">
        <v>0</v>
      </c>
      <c r="E264" s="67"/>
      <c r="F264" s="67"/>
    </row>
    <row r="265" spans="3:6" x14ac:dyDescent="0.25">
      <c r="C265" s="56" t="s">
        <v>955</v>
      </c>
      <c r="D265" s="67">
        <v>46953920</v>
      </c>
      <c r="E265" s="67">
        <v>1.5</v>
      </c>
      <c r="F265" s="67">
        <v>10</v>
      </c>
    </row>
    <row r="266" spans="3:6" x14ac:dyDescent="0.25">
      <c r="C266" s="47" t="s">
        <v>604</v>
      </c>
      <c r="D266" s="67">
        <v>0</v>
      </c>
      <c r="E266" s="67"/>
      <c r="F266" s="67"/>
    </row>
    <row r="267" spans="3:6" x14ac:dyDescent="0.25">
      <c r="C267" s="47">
        <v>144</v>
      </c>
      <c r="D267" s="67">
        <v>2891000</v>
      </c>
      <c r="E267" s="67">
        <v>1.26</v>
      </c>
      <c r="F267" s="67">
        <v>8.42</v>
      </c>
    </row>
    <row r="268" spans="3:6" x14ac:dyDescent="0.25">
      <c r="C268" s="47">
        <v>706</v>
      </c>
      <c r="D268" s="67">
        <v>10863420</v>
      </c>
      <c r="E268" s="67">
        <v>1.36</v>
      </c>
      <c r="F268" s="67">
        <v>9.06</v>
      </c>
    </row>
    <row r="269" spans="3:6" x14ac:dyDescent="0.25">
      <c r="C269" s="47">
        <v>707</v>
      </c>
      <c r="D269" s="67">
        <v>1190000</v>
      </c>
      <c r="E269" s="67">
        <v>1.5</v>
      </c>
      <c r="F269" s="67">
        <v>10</v>
      </c>
    </row>
    <row r="270" spans="3:6" x14ac:dyDescent="0.25">
      <c r="C270" s="47">
        <v>145</v>
      </c>
      <c r="D270" s="67">
        <v>931000</v>
      </c>
      <c r="E270" s="67">
        <v>1.43</v>
      </c>
      <c r="F270" s="67">
        <v>9.5399999999999991</v>
      </c>
    </row>
    <row r="271" spans="3:6" x14ac:dyDescent="0.25">
      <c r="C271" s="47">
        <v>147</v>
      </c>
      <c r="D271" s="67">
        <v>6198500</v>
      </c>
      <c r="E271" s="67">
        <v>1.37</v>
      </c>
      <c r="F271" s="67">
        <v>9.1300000000000008</v>
      </c>
    </row>
    <row r="272" spans="3:6" x14ac:dyDescent="0.25">
      <c r="C272" s="47">
        <v>146</v>
      </c>
      <c r="D272" s="67">
        <v>1127000</v>
      </c>
      <c r="E272" s="67">
        <v>1.45</v>
      </c>
      <c r="F272" s="67">
        <v>9.66</v>
      </c>
    </row>
    <row r="273" spans="3:6" x14ac:dyDescent="0.25">
      <c r="C273" s="47">
        <v>149</v>
      </c>
      <c r="D273" s="67">
        <v>15155000</v>
      </c>
      <c r="E273" s="67">
        <v>1.5</v>
      </c>
      <c r="F273" s="67">
        <v>10</v>
      </c>
    </row>
    <row r="274" spans="3:6" x14ac:dyDescent="0.25">
      <c r="C274" s="47">
        <v>704</v>
      </c>
      <c r="D274" s="67">
        <v>6909000</v>
      </c>
      <c r="E274" s="67">
        <v>1.5</v>
      </c>
      <c r="F274" s="67">
        <v>10</v>
      </c>
    </row>
    <row r="275" spans="3:6" x14ac:dyDescent="0.25">
      <c r="C275" s="47">
        <v>143</v>
      </c>
      <c r="D275" s="67">
        <v>1689000</v>
      </c>
      <c r="E275" s="67">
        <v>1.42</v>
      </c>
      <c r="F275" s="67">
        <v>9.44</v>
      </c>
    </row>
    <row r="276" spans="3:6" x14ac:dyDescent="0.25">
      <c r="C276" s="56" t="s">
        <v>604</v>
      </c>
      <c r="D276" s="67">
        <v>0</v>
      </c>
      <c r="E276" s="67"/>
      <c r="F276" s="67"/>
    </row>
    <row r="277" spans="3:6" x14ac:dyDescent="0.25">
      <c r="C277" s="47" t="s">
        <v>604</v>
      </c>
      <c r="D277" s="67">
        <v>0</v>
      </c>
      <c r="E277" s="67"/>
      <c r="F277" s="67"/>
    </row>
    <row r="278" spans="3:6" x14ac:dyDescent="0.25">
      <c r="C278" s="56" t="s">
        <v>958</v>
      </c>
      <c r="D278" s="67">
        <v>4989000</v>
      </c>
      <c r="E278" s="67">
        <v>1.38</v>
      </c>
      <c r="F278" s="67">
        <v>9.17</v>
      </c>
    </row>
    <row r="279" spans="3:6" x14ac:dyDescent="0.25">
      <c r="C279" s="47">
        <v>85</v>
      </c>
      <c r="D279" s="67">
        <v>3654800</v>
      </c>
      <c r="E279" s="67">
        <v>0.57999999999999996</v>
      </c>
      <c r="F279" s="67">
        <v>3.88</v>
      </c>
    </row>
    <row r="280" spans="3:6" x14ac:dyDescent="0.25">
      <c r="C280" s="47">
        <v>88</v>
      </c>
      <c r="D280" s="67">
        <v>1334200</v>
      </c>
      <c r="E280" s="67">
        <v>1.38</v>
      </c>
      <c r="F280" s="67">
        <v>9.17</v>
      </c>
    </row>
    <row r="281" spans="3:6" x14ac:dyDescent="0.25">
      <c r="C281" s="56" t="s">
        <v>1249</v>
      </c>
      <c r="D281" s="67">
        <v>9016000</v>
      </c>
      <c r="E281" s="67">
        <v>1.5</v>
      </c>
      <c r="F281" s="67">
        <v>9.98</v>
      </c>
    </row>
    <row r="282" spans="3:6" x14ac:dyDescent="0.25">
      <c r="C282" s="47">
        <v>831</v>
      </c>
      <c r="D282" s="67">
        <v>3549000</v>
      </c>
      <c r="E282" s="67">
        <v>1.33</v>
      </c>
      <c r="F282" s="67">
        <v>8.8800000000000008</v>
      </c>
    </row>
    <row r="283" spans="3:6" x14ac:dyDescent="0.25">
      <c r="C283" s="47">
        <v>830</v>
      </c>
      <c r="D283" s="67">
        <v>917000</v>
      </c>
      <c r="E283" s="67">
        <v>1.5</v>
      </c>
      <c r="F283" s="67">
        <v>9.98</v>
      </c>
    </row>
    <row r="284" spans="3:6" x14ac:dyDescent="0.25">
      <c r="C284" s="47">
        <v>833</v>
      </c>
      <c r="D284" s="67">
        <v>2044000</v>
      </c>
      <c r="E284" s="67">
        <v>1.4</v>
      </c>
      <c r="F284" s="67">
        <v>9.35</v>
      </c>
    </row>
    <row r="285" spans="3:6" x14ac:dyDescent="0.25">
      <c r="C285" s="47">
        <v>832</v>
      </c>
      <c r="D285" s="67">
        <v>2506000</v>
      </c>
      <c r="E285" s="67">
        <v>1.01</v>
      </c>
      <c r="F285" s="67">
        <v>6.75</v>
      </c>
    </row>
    <row r="286" spans="3:6" x14ac:dyDescent="0.25">
      <c r="C286" s="56" t="s">
        <v>467</v>
      </c>
      <c r="D286" s="67">
        <v>32011000</v>
      </c>
      <c r="E286" s="67">
        <v>1.5</v>
      </c>
      <c r="F286" s="67">
        <v>9.98</v>
      </c>
    </row>
    <row r="287" spans="3:6" x14ac:dyDescent="0.25">
      <c r="C287" s="47">
        <v>100</v>
      </c>
      <c r="D287" s="67">
        <v>17367000</v>
      </c>
      <c r="E287" s="67">
        <v>1.46</v>
      </c>
      <c r="F287" s="67">
        <v>9.75</v>
      </c>
    </row>
    <row r="288" spans="3:6" x14ac:dyDescent="0.25">
      <c r="C288" s="47">
        <v>136</v>
      </c>
      <c r="D288" s="67">
        <v>4305000</v>
      </c>
      <c r="E288" s="67">
        <v>1.49</v>
      </c>
      <c r="F288" s="67">
        <v>9.9600000000000009</v>
      </c>
    </row>
    <row r="289" spans="3:6" x14ac:dyDescent="0.25">
      <c r="C289" s="47">
        <v>491</v>
      </c>
      <c r="D289" s="67">
        <v>3598000</v>
      </c>
      <c r="E289" s="67">
        <v>1.5</v>
      </c>
      <c r="F289" s="67">
        <v>9.98</v>
      </c>
    </row>
    <row r="290" spans="3:6" x14ac:dyDescent="0.25">
      <c r="C290" s="47">
        <v>60</v>
      </c>
      <c r="D290" s="67">
        <v>1274000</v>
      </c>
      <c r="E290" s="67">
        <v>1.19</v>
      </c>
      <c r="F290" s="67">
        <v>7.92</v>
      </c>
    </row>
    <row r="291" spans="3:6" x14ac:dyDescent="0.25">
      <c r="C291" s="47">
        <v>124</v>
      </c>
      <c r="D291" s="67">
        <v>5467000</v>
      </c>
      <c r="E291" s="67">
        <v>0.79</v>
      </c>
      <c r="F291" s="67">
        <v>5.26</v>
      </c>
    </row>
    <row r="292" spans="3:6" x14ac:dyDescent="0.25">
      <c r="C292" s="56" t="s">
        <v>468</v>
      </c>
      <c r="D292" s="67">
        <v>6160000</v>
      </c>
      <c r="E292" s="67">
        <v>1.45</v>
      </c>
      <c r="F292" s="67">
        <v>9.6999999999999993</v>
      </c>
    </row>
    <row r="293" spans="3:6" x14ac:dyDescent="0.25">
      <c r="C293" s="47">
        <v>546</v>
      </c>
      <c r="D293" s="67">
        <v>2254000</v>
      </c>
      <c r="E293" s="67">
        <v>1.45</v>
      </c>
      <c r="F293" s="67">
        <v>9.6999999999999993</v>
      </c>
    </row>
    <row r="294" spans="3:6" x14ac:dyDescent="0.25">
      <c r="C294" s="47">
        <v>545</v>
      </c>
      <c r="D294" s="67">
        <v>3906000</v>
      </c>
      <c r="E294" s="67">
        <v>1.43</v>
      </c>
      <c r="F294" s="67">
        <v>9.56</v>
      </c>
    </row>
    <row r="295" spans="3:6" x14ac:dyDescent="0.25">
      <c r="C295" s="56" t="s">
        <v>602</v>
      </c>
      <c r="D295" s="67">
        <v>2459500</v>
      </c>
      <c r="E295" s="67">
        <v>1.33</v>
      </c>
      <c r="F295" s="67">
        <v>8.8699999999999992</v>
      </c>
    </row>
    <row r="296" spans="3:6" x14ac:dyDescent="0.25">
      <c r="C296" s="47">
        <v>323</v>
      </c>
      <c r="D296" s="67">
        <v>2459500</v>
      </c>
      <c r="E296" s="67">
        <v>1.33</v>
      </c>
      <c r="F296" s="67">
        <v>8.8699999999999992</v>
      </c>
    </row>
    <row r="297" spans="3:6" x14ac:dyDescent="0.25">
      <c r="C297" s="56" t="s">
        <v>494</v>
      </c>
      <c r="D297" s="67">
        <v>16102000</v>
      </c>
      <c r="E297" s="67">
        <v>1.5</v>
      </c>
      <c r="F297" s="67">
        <v>10</v>
      </c>
    </row>
    <row r="298" spans="3:6" x14ac:dyDescent="0.25">
      <c r="C298" s="47">
        <v>50</v>
      </c>
      <c r="D298" s="67">
        <v>5306000</v>
      </c>
      <c r="E298" s="67">
        <v>1.44</v>
      </c>
      <c r="F298" s="67">
        <v>9.6199999999999992</v>
      </c>
    </row>
    <row r="299" spans="3:6" x14ac:dyDescent="0.25">
      <c r="C299" s="47">
        <v>55</v>
      </c>
      <c r="D299" s="67">
        <v>2148000</v>
      </c>
      <c r="E299" s="67">
        <v>1.46</v>
      </c>
      <c r="F299" s="67">
        <v>9.74</v>
      </c>
    </row>
    <row r="300" spans="3:6" x14ac:dyDescent="0.25">
      <c r="C300" s="47">
        <v>740</v>
      </c>
      <c r="D300" s="67">
        <v>4203000</v>
      </c>
      <c r="E300" s="67">
        <v>1.29</v>
      </c>
      <c r="F300" s="67">
        <v>8.6199999999999992</v>
      </c>
    </row>
    <row r="301" spans="3:6" x14ac:dyDescent="0.25">
      <c r="C301" s="47">
        <v>741</v>
      </c>
      <c r="D301" s="67">
        <v>4445000</v>
      </c>
      <c r="E301" s="67">
        <v>1.5</v>
      </c>
      <c r="F301" s="67">
        <v>10</v>
      </c>
    </row>
    <row r="302" spans="3:6" x14ac:dyDescent="0.25">
      <c r="C302" s="47" t="s">
        <v>604</v>
      </c>
      <c r="D302" s="67">
        <v>0</v>
      </c>
      <c r="E302" s="67"/>
      <c r="F302" s="67"/>
    </row>
    <row r="303" spans="3:6" x14ac:dyDescent="0.25">
      <c r="C303" s="56" t="s">
        <v>1254</v>
      </c>
      <c r="D303" s="67">
        <v>18402000</v>
      </c>
      <c r="E303" s="67">
        <v>1.49</v>
      </c>
      <c r="F303" s="67">
        <v>9.91</v>
      </c>
    </row>
    <row r="304" spans="3:6" x14ac:dyDescent="0.25">
      <c r="C304" s="47">
        <v>934</v>
      </c>
      <c r="D304" s="67">
        <v>8875000</v>
      </c>
      <c r="E304" s="67">
        <v>1.49</v>
      </c>
      <c r="F304" s="67">
        <v>9.91</v>
      </c>
    </row>
    <row r="305" spans="3:6" x14ac:dyDescent="0.25">
      <c r="C305" s="47">
        <v>937</v>
      </c>
      <c r="D305" s="67">
        <v>3779000</v>
      </c>
      <c r="E305" s="67">
        <v>1.4</v>
      </c>
      <c r="F305" s="67">
        <v>9.33</v>
      </c>
    </row>
    <row r="306" spans="3:6" x14ac:dyDescent="0.25">
      <c r="C306" s="47">
        <v>936</v>
      </c>
      <c r="D306" s="67">
        <v>2992000</v>
      </c>
      <c r="E306" s="67">
        <v>1.38</v>
      </c>
      <c r="F306" s="67">
        <v>9.23</v>
      </c>
    </row>
    <row r="307" spans="3:6" x14ac:dyDescent="0.25">
      <c r="C307" s="47">
        <v>930</v>
      </c>
      <c r="D307" s="67">
        <v>2756000</v>
      </c>
      <c r="E307" s="67">
        <v>1.03</v>
      </c>
      <c r="F307" s="67">
        <v>6.85</v>
      </c>
    </row>
    <row r="308" spans="3:6" x14ac:dyDescent="0.25">
      <c r="C308" s="56" t="s">
        <v>745</v>
      </c>
      <c r="D308" s="67">
        <v>11665500</v>
      </c>
      <c r="E308" s="67">
        <v>1.48</v>
      </c>
      <c r="F308" s="67">
        <v>9.89</v>
      </c>
    </row>
    <row r="309" spans="3:6" x14ac:dyDescent="0.25">
      <c r="C309" s="47">
        <v>65</v>
      </c>
      <c r="D309" s="67">
        <v>7287000</v>
      </c>
      <c r="E309" s="67">
        <v>1.24</v>
      </c>
      <c r="F309" s="67">
        <v>8.26</v>
      </c>
    </row>
    <row r="310" spans="3:6" x14ac:dyDescent="0.25">
      <c r="C310" s="47">
        <v>120</v>
      </c>
      <c r="D310" s="67">
        <v>763000</v>
      </c>
      <c r="E310" s="67">
        <v>1.4</v>
      </c>
      <c r="F310" s="67">
        <v>9.31</v>
      </c>
    </row>
    <row r="311" spans="3:6" x14ac:dyDescent="0.25">
      <c r="C311" s="47">
        <v>273</v>
      </c>
      <c r="D311" s="67">
        <v>966000</v>
      </c>
      <c r="E311" s="67">
        <v>1.48</v>
      </c>
      <c r="F311" s="67">
        <v>9.89</v>
      </c>
    </row>
    <row r="312" spans="3:6" x14ac:dyDescent="0.25">
      <c r="C312" s="47">
        <v>69</v>
      </c>
      <c r="D312" s="67">
        <v>2649500</v>
      </c>
      <c r="E312" s="67">
        <v>1.44</v>
      </c>
      <c r="F312" s="67">
        <v>9.6300000000000008</v>
      </c>
    </row>
    <row r="313" spans="3:6" x14ac:dyDescent="0.25">
      <c r="C313" s="56" t="s">
        <v>603</v>
      </c>
      <c r="D313" s="67">
        <v>18573500</v>
      </c>
      <c r="E313" s="67">
        <v>1.59</v>
      </c>
      <c r="F313" s="67">
        <v>10.6</v>
      </c>
    </row>
    <row r="314" spans="3:6" x14ac:dyDescent="0.25">
      <c r="C314" s="47">
        <v>128</v>
      </c>
      <c r="D314" s="67">
        <v>2261000</v>
      </c>
      <c r="E314" s="67">
        <v>1.5</v>
      </c>
      <c r="F314" s="67">
        <v>10</v>
      </c>
    </row>
    <row r="315" spans="3:6" x14ac:dyDescent="0.25">
      <c r="C315" s="47">
        <v>129</v>
      </c>
      <c r="D315" s="67">
        <v>4321500</v>
      </c>
      <c r="E315" s="67">
        <v>1.44</v>
      </c>
      <c r="F315" s="67">
        <v>9.66</v>
      </c>
    </row>
    <row r="316" spans="3:6" x14ac:dyDescent="0.25">
      <c r="C316" s="47">
        <v>130</v>
      </c>
      <c r="D316" s="67">
        <v>2401000</v>
      </c>
      <c r="E316" s="67">
        <v>1.35</v>
      </c>
      <c r="F316" s="67">
        <v>9.02</v>
      </c>
    </row>
    <row r="317" spans="3:6" x14ac:dyDescent="0.25">
      <c r="C317" s="47" t="s">
        <v>604</v>
      </c>
      <c r="D317" s="67">
        <v>0</v>
      </c>
      <c r="E317" s="67"/>
      <c r="F317" s="67"/>
    </row>
    <row r="318" spans="3:6" x14ac:dyDescent="0.25">
      <c r="C318" s="47">
        <v>131</v>
      </c>
      <c r="D318" s="67">
        <v>7301000</v>
      </c>
      <c r="E318" s="67">
        <v>1.59</v>
      </c>
      <c r="F318" s="67">
        <v>10.6</v>
      </c>
    </row>
    <row r="319" spans="3:6" x14ac:dyDescent="0.25">
      <c r="C319" s="47">
        <v>123</v>
      </c>
      <c r="D319" s="67">
        <v>2289000</v>
      </c>
      <c r="E319" s="67">
        <v>1.48</v>
      </c>
      <c r="F319" s="67">
        <v>9.84</v>
      </c>
    </row>
    <row r="320" spans="3:6" x14ac:dyDescent="0.25">
      <c r="C320" s="56" t="s">
        <v>367</v>
      </c>
      <c r="D320" s="67">
        <v>16412700</v>
      </c>
      <c r="E320" s="67">
        <v>1.48</v>
      </c>
      <c r="F320" s="67">
        <v>9.89</v>
      </c>
    </row>
    <row r="321" spans="3:6" x14ac:dyDescent="0.25">
      <c r="C321" s="47">
        <v>334</v>
      </c>
      <c r="D321" s="67">
        <v>701400</v>
      </c>
      <c r="E321" s="67">
        <v>1.22</v>
      </c>
      <c r="F321" s="67">
        <v>8.11</v>
      </c>
    </row>
    <row r="322" spans="3:6" x14ac:dyDescent="0.25">
      <c r="C322" s="47">
        <v>460</v>
      </c>
      <c r="D322" s="67">
        <v>6846000</v>
      </c>
      <c r="E322" s="67">
        <v>1.23</v>
      </c>
      <c r="F322" s="67">
        <v>8.19</v>
      </c>
    </row>
    <row r="323" spans="3:6" x14ac:dyDescent="0.25">
      <c r="C323" s="47">
        <v>461</v>
      </c>
      <c r="D323" s="67">
        <v>534000</v>
      </c>
      <c r="E323" s="67">
        <v>1.44</v>
      </c>
      <c r="F323" s="67">
        <v>9.6199999999999992</v>
      </c>
    </row>
    <row r="324" spans="3:6" x14ac:dyDescent="0.25">
      <c r="C324" s="47">
        <v>1201</v>
      </c>
      <c r="D324" s="67">
        <v>8331300</v>
      </c>
      <c r="E324" s="67">
        <v>1.48</v>
      </c>
      <c r="F324" s="67">
        <v>9.89</v>
      </c>
    </row>
    <row r="325" spans="3:6" x14ac:dyDescent="0.25">
      <c r="C325" s="47" t="s">
        <v>604</v>
      </c>
      <c r="D325" s="67">
        <v>0</v>
      </c>
      <c r="E325" s="67"/>
      <c r="F325" s="67"/>
    </row>
    <row r="326" spans="3:6" x14ac:dyDescent="0.25">
      <c r="C326" s="56" t="s">
        <v>1354</v>
      </c>
      <c r="D326" s="67">
        <v>9671000</v>
      </c>
      <c r="E326" s="67">
        <v>1.36</v>
      </c>
      <c r="F326" s="67">
        <v>9.07</v>
      </c>
    </row>
    <row r="327" spans="3:6" x14ac:dyDescent="0.25">
      <c r="C327" s="47">
        <v>438</v>
      </c>
      <c r="D327" s="67">
        <v>3133000</v>
      </c>
      <c r="E327" s="67">
        <v>1.21</v>
      </c>
      <c r="F327" s="67">
        <v>8.0500000000000007</v>
      </c>
    </row>
    <row r="328" spans="3:6" x14ac:dyDescent="0.25">
      <c r="C328" s="47">
        <v>435</v>
      </c>
      <c r="D328" s="67">
        <v>4760000</v>
      </c>
      <c r="E328" s="67">
        <v>1.31</v>
      </c>
      <c r="F328" s="67">
        <v>8.76</v>
      </c>
    </row>
    <row r="329" spans="3:6" x14ac:dyDescent="0.25">
      <c r="C329" s="47">
        <v>729</v>
      </c>
      <c r="D329" s="67">
        <v>1778000</v>
      </c>
      <c r="E329" s="67">
        <v>1.36</v>
      </c>
      <c r="F329" s="67">
        <v>9.07</v>
      </c>
    </row>
    <row r="330" spans="3:6" x14ac:dyDescent="0.25">
      <c r="C330" s="56" t="s">
        <v>982</v>
      </c>
      <c r="D330" s="67">
        <v>1869000</v>
      </c>
      <c r="E330" s="67">
        <v>1.22</v>
      </c>
      <c r="F330" s="67">
        <v>8.1199999999999992</v>
      </c>
    </row>
    <row r="331" spans="3:6" x14ac:dyDescent="0.25">
      <c r="C331" s="47">
        <v>756</v>
      </c>
      <c r="D331" s="67">
        <v>1869000</v>
      </c>
      <c r="E331" s="67">
        <v>1.22</v>
      </c>
      <c r="F331" s="67">
        <v>8.1199999999999992</v>
      </c>
    </row>
    <row r="332" spans="3:6" x14ac:dyDescent="0.25">
      <c r="C332" s="56" t="s">
        <v>957</v>
      </c>
      <c r="D332" s="67">
        <v>8386000</v>
      </c>
      <c r="E332" s="67">
        <v>1.41</v>
      </c>
      <c r="F332" s="67">
        <v>9.41</v>
      </c>
    </row>
    <row r="333" spans="3:6" x14ac:dyDescent="0.25">
      <c r="C333" s="47">
        <v>362</v>
      </c>
      <c r="D333" s="67">
        <v>8386000</v>
      </c>
      <c r="E333" s="67">
        <v>1.41</v>
      </c>
      <c r="F333" s="67">
        <v>9.41</v>
      </c>
    </row>
    <row r="334" spans="3:6" x14ac:dyDescent="0.25">
      <c r="C334" s="56" t="s">
        <v>601</v>
      </c>
      <c r="D334" s="67">
        <v>9287500</v>
      </c>
      <c r="E334" s="67">
        <v>1.59</v>
      </c>
      <c r="F334" s="67">
        <v>10.6</v>
      </c>
    </row>
    <row r="335" spans="3:6" x14ac:dyDescent="0.25">
      <c r="C335" s="47">
        <v>167</v>
      </c>
      <c r="D335" s="67">
        <v>1512000</v>
      </c>
      <c r="E335" s="67">
        <v>0.47</v>
      </c>
      <c r="F335" s="67">
        <v>3.12</v>
      </c>
    </row>
    <row r="336" spans="3:6" x14ac:dyDescent="0.25">
      <c r="C336" s="47">
        <v>168</v>
      </c>
      <c r="D336" s="67">
        <v>3190500</v>
      </c>
      <c r="E336" s="67">
        <v>1.29</v>
      </c>
      <c r="F336" s="67">
        <v>8.61</v>
      </c>
    </row>
    <row r="337" spans="3:6" x14ac:dyDescent="0.25">
      <c r="C337" s="47">
        <v>430</v>
      </c>
      <c r="D337" s="67">
        <v>3038000</v>
      </c>
      <c r="E337" s="67">
        <v>1.59</v>
      </c>
      <c r="F337" s="67">
        <v>10.6</v>
      </c>
    </row>
    <row r="338" spans="3:6" x14ac:dyDescent="0.25">
      <c r="C338" s="47">
        <v>169</v>
      </c>
      <c r="D338" s="67">
        <v>1547000</v>
      </c>
      <c r="E338" s="67">
        <v>1.31</v>
      </c>
      <c r="F338" s="67">
        <v>8.7100000000000009</v>
      </c>
    </row>
    <row r="339" spans="3:6" x14ac:dyDescent="0.25">
      <c r="C339" s="56" t="s">
        <v>469</v>
      </c>
      <c r="D339" s="67">
        <v>4767000</v>
      </c>
      <c r="E339" s="67">
        <v>1.5</v>
      </c>
      <c r="F339" s="67">
        <v>10</v>
      </c>
    </row>
    <row r="340" spans="3:6" x14ac:dyDescent="0.25">
      <c r="C340" s="47">
        <v>735</v>
      </c>
      <c r="D340" s="67">
        <v>882000</v>
      </c>
      <c r="E340" s="67">
        <v>1.5</v>
      </c>
      <c r="F340" s="67">
        <v>10</v>
      </c>
    </row>
    <row r="341" spans="3:6" x14ac:dyDescent="0.25">
      <c r="C341" s="47">
        <v>737</v>
      </c>
      <c r="D341" s="67">
        <v>2450000</v>
      </c>
      <c r="E341" s="67">
        <v>1.5</v>
      </c>
      <c r="F341" s="67">
        <v>10</v>
      </c>
    </row>
    <row r="342" spans="3:6" x14ac:dyDescent="0.25">
      <c r="C342" s="47">
        <v>266</v>
      </c>
      <c r="D342" s="67">
        <v>1435000</v>
      </c>
      <c r="E342" s="67">
        <v>1.1399999999999999</v>
      </c>
      <c r="F342" s="67">
        <v>7.57</v>
      </c>
    </row>
    <row r="343" spans="3:6" x14ac:dyDescent="0.25">
      <c r="C343" s="56" t="s">
        <v>983</v>
      </c>
      <c r="D343" s="67">
        <v>12740000</v>
      </c>
      <c r="E343" s="67">
        <v>1.49</v>
      </c>
      <c r="F343" s="67">
        <v>9.9600000000000009</v>
      </c>
    </row>
    <row r="344" spans="3:6" x14ac:dyDescent="0.25">
      <c r="C344" s="47">
        <v>426</v>
      </c>
      <c r="D344" s="67">
        <v>10066000</v>
      </c>
      <c r="E344" s="67">
        <v>1.41</v>
      </c>
      <c r="F344" s="67">
        <v>9.39</v>
      </c>
    </row>
    <row r="345" spans="3:6" x14ac:dyDescent="0.25">
      <c r="C345" s="47">
        <v>465</v>
      </c>
      <c r="D345" s="67">
        <v>1673000</v>
      </c>
      <c r="E345" s="67">
        <v>0.88</v>
      </c>
      <c r="F345" s="67">
        <v>5.87</v>
      </c>
    </row>
    <row r="346" spans="3:6" x14ac:dyDescent="0.25">
      <c r="C346" s="47">
        <v>427</v>
      </c>
      <c r="D346" s="67">
        <v>1001000</v>
      </c>
      <c r="E346" s="67">
        <v>1.49</v>
      </c>
      <c r="F346" s="67">
        <v>9.9600000000000009</v>
      </c>
    </row>
    <row r="347" spans="3:6" x14ac:dyDescent="0.25">
      <c r="C347" s="56" t="s">
        <v>133</v>
      </c>
      <c r="D347" s="67">
        <v>0</v>
      </c>
      <c r="E347" s="67">
        <v>0</v>
      </c>
      <c r="F347" s="67">
        <v>0</v>
      </c>
    </row>
    <row r="348" spans="3:6" x14ac:dyDescent="0.25">
      <c r="C348" s="47" t="s">
        <v>133</v>
      </c>
      <c r="D348" s="67">
        <v>0</v>
      </c>
      <c r="E348" s="67">
        <v>0</v>
      </c>
      <c r="F348" s="67">
        <v>0</v>
      </c>
    </row>
    <row r="349" spans="3:6" x14ac:dyDescent="0.25">
      <c r="C349" s="56" t="s">
        <v>282</v>
      </c>
      <c r="D349" s="67">
        <v>1050000</v>
      </c>
      <c r="E349" s="67"/>
      <c r="F349" s="67"/>
    </row>
    <row r="350" spans="3:6" x14ac:dyDescent="0.25">
      <c r="C350" s="47" t="s">
        <v>282</v>
      </c>
      <c r="D350" s="67">
        <v>1050000</v>
      </c>
      <c r="E350" s="67"/>
      <c r="F350" s="67"/>
    </row>
    <row r="351" spans="3:6" x14ac:dyDescent="0.25">
      <c r="C351" s="56" t="s">
        <v>235</v>
      </c>
      <c r="D351" s="67">
        <v>498653020</v>
      </c>
      <c r="E351" s="67">
        <v>1.77</v>
      </c>
      <c r="F351" s="67">
        <v>11.82</v>
      </c>
    </row>
  </sheetData>
  <sortState ref="H5:L148">
    <sortCondition ref="H4"/>
  </sortState>
  <mergeCells count="2">
    <mergeCell ref="C2:D2"/>
    <mergeCell ref="E2:F2"/>
  </mergeCells>
  <conditionalFormatting sqref="E5:F179">
    <cfRule type="expression" dxfId="25" priority="16">
      <formula>AND(ISTEXT($C5),NOT($C5="Multiple"),NOT($C5="(blank)"))</formula>
    </cfRule>
  </conditionalFormatting>
  <conditionalFormatting sqref="C5:C178 C6:D179">
    <cfRule type="expression" dxfId="24" priority="14">
      <formula>AND(ISTEXT($C5),NOT($C5="Multiple"),NOT($C5="(blank)"))</formula>
    </cfRule>
  </conditionalFormatting>
  <conditionalFormatting sqref="D5">
    <cfRule type="expression" dxfId="23" priority="12">
      <formula>AND(ISTEXT($C5),NOT($C5="Multiple"),NOT($C5="(blank)"))</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A891"/>
  <sheetViews>
    <sheetView zoomScale="85" zoomScaleNormal="85" zoomScalePageLayoutView="125" workbookViewId="0">
      <pane xSplit="9" ySplit="2" topLeftCell="J3" activePane="bottomRight" state="frozen"/>
      <selection pane="topRight" activeCell="I1" sqref="I1"/>
      <selection pane="bottomLeft" activeCell="A3" sqref="A3"/>
      <selection pane="bottomRight" activeCell="P1" sqref="P1"/>
    </sheetView>
  </sheetViews>
  <sheetFormatPr defaultColWidth="9.140625" defaultRowHeight="15" x14ac:dyDescent="0.25"/>
  <cols>
    <col min="1" max="1" width="7" style="28" customWidth="1"/>
    <col min="2" max="2" width="22.140625" style="28" customWidth="1"/>
    <col min="3" max="3" width="14.42578125" style="28" customWidth="1"/>
    <col min="4" max="4" width="19" style="28" customWidth="1"/>
    <col min="5" max="5" width="8.5703125" style="28" customWidth="1"/>
    <col min="6" max="6" width="6.42578125" style="143" customWidth="1"/>
    <col min="7" max="7" width="11.42578125" style="62" customWidth="1"/>
    <col min="8" max="8" width="12" style="62" customWidth="1"/>
    <col min="9" max="9" width="12" style="28" customWidth="1"/>
    <col min="10" max="10" width="9.42578125" style="28" customWidth="1"/>
    <col min="11" max="11" width="8.42578125" style="28" customWidth="1"/>
    <col min="12" max="12" width="10.85546875" style="28" customWidth="1"/>
    <col min="13" max="14" width="8.42578125" style="28" customWidth="1"/>
    <col min="15" max="15" width="8.85546875" style="28" customWidth="1"/>
    <col min="16" max="16" width="11.140625" style="42" bestFit="1" customWidth="1"/>
    <col min="17" max="17" width="11.42578125" style="42" customWidth="1"/>
    <col min="18" max="18" width="10.28515625" style="28" customWidth="1"/>
    <col min="19" max="19" width="13.7109375" style="28" customWidth="1"/>
    <col min="20" max="20" width="13.42578125" style="28" customWidth="1"/>
    <col min="21" max="21" width="18" style="28" customWidth="1"/>
    <col min="22" max="22" width="14.28515625" style="143" customWidth="1"/>
    <col min="23" max="23" width="11.7109375" style="43" customWidth="1"/>
    <col min="24" max="24" width="9.7109375" style="42" customWidth="1"/>
    <col min="25" max="25" width="9" style="42" customWidth="1"/>
    <col min="26" max="26" width="12.42578125" style="42" customWidth="1"/>
    <col min="27" max="27" width="8.85546875" style="42" customWidth="1"/>
    <col min="28" max="16384" width="9.140625" style="28"/>
  </cols>
  <sheetData>
    <row r="1" spans="1:27" s="30" customFormat="1" ht="54" customHeight="1" x14ac:dyDescent="0.25">
      <c r="B1" s="30" t="s">
        <v>104</v>
      </c>
      <c r="C1" s="30" t="s">
        <v>89</v>
      </c>
      <c r="D1" s="30" t="s">
        <v>33</v>
      </c>
      <c r="E1" s="30" t="s">
        <v>524</v>
      </c>
      <c r="F1" s="141" t="s">
        <v>1310</v>
      </c>
      <c r="G1" s="60" t="s">
        <v>220</v>
      </c>
      <c r="H1" s="60" t="s">
        <v>221</v>
      </c>
      <c r="I1" s="30" t="s">
        <v>138</v>
      </c>
      <c r="J1" s="30" t="s">
        <v>208</v>
      </c>
      <c r="K1" s="30" t="s">
        <v>150</v>
      </c>
      <c r="L1" s="30" t="s">
        <v>158</v>
      </c>
      <c r="M1" s="30" t="s">
        <v>209</v>
      </c>
      <c r="N1" s="30" t="s">
        <v>165</v>
      </c>
      <c r="O1" s="30" t="s">
        <v>112</v>
      </c>
      <c r="P1" s="30" t="s">
        <v>90</v>
      </c>
      <c r="Q1" s="30" t="s">
        <v>91</v>
      </c>
      <c r="R1" s="30" t="s">
        <v>101</v>
      </c>
      <c r="S1" s="30" t="s">
        <v>114</v>
      </c>
      <c r="T1" s="30" t="s">
        <v>113</v>
      </c>
      <c r="U1" s="30" t="s">
        <v>705</v>
      </c>
      <c r="V1" s="60" t="s">
        <v>1391</v>
      </c>
      <c r="W1" s="96" t="s">
        <v>102</v>
      </c>
      <c r="X1" s="96" t="s">
        <v>497</v>
      </c>
      <c r="Y1" s="96" t="s">
        <v>498</v>
      </c>
      <c r="Z1" s="96" t="s">
        <v>500</v>
      </c>
      <c r="AA1" s="96" t="s">
        <v>281</v>
      </c>
    </row>
    <row r="2" spans="1:27" s="21" customFormat="1" ht="60.75" customHeight="1" x14ac:dyDescent="0.25">
      <c r="A2" s="72" t="s">
        <v>525</v>
      </c>
      <c r="B2" s="31" t="s">
        <v>13</v>
      </c>
      <c r="C2" s="31" t="s">
        <v>0</v>
      </c>
      <c r="D2" s="31" t="s">
        <v>33</v>
      </c>
      <c r="E2" s="31" t="s">
        <v>389</v>
      </c>
      <c r="F2" s="142" t="s">
        <v>1311</v>
      </c>
      <c r="G2" s="63" t="s">
        <v>29</v>
      </c>
      <c r="H2" s="63" t="s">
        <v>30</v>
      </c>
      <c r="I2" s="63" t="s">
        <v>139</v>
      </c>
      <c r="J2" s="45" t="s">
        <v>147</v>
      </c>
      <c r="K2" s="74" t="s">
        <v>151</v>
      </c>
      <c r="L2" s="45" t="s">
        <v>161</v>
      </c>
      <c r="M2" s="45" t="s">
        <v>159</v>
      </c>
      <c r="N2" s="74" t="s">
        <v>160</v>
      </c>
      <c r="O2" s="36" t="s">
        <v>10</v>
      </c>
      <c r="P2" s="32" t="s">
        <v>11</v>
      </c>
      <c r="Q2" s="33" t="s">
        <v>35</v>
      </c>
      <c r="R2" s="34" t="s">
        <v>12</v>
      </c>
      <c r="S2" s="35" t="s">
        <v>180</v>
      </c>
      <c r="T2" s="35" t="s">
        <v>181</v>
      </c>
      <c r="U2" s="31" t="s">
        <v>2</v>
      </c>
      <c r="V2" s="142" t="s">
        <v>1392</v>
      </c>
      <c r="W2" s="134" t="s">
        <v>6</v>
      </c>
      <c r="X2" s="104" t="s">
        <v>108</v>
      </c>
      <c r="Y2" s="104" t="s">
        <v>109</v>
      </c>
      <c r="Z2" s="135" t="s">
        <v>283</v>
      </c>
      <c r="AA2" s="136" t="s">
        <v>7</v>
      </c>
    </row>
    <row r="3" spans="1:27" x14ac:dyDescent="0.25">
      <c r="A3" s="4"/>
      <c r="B3" s="28" t="s">
        <v>1238</v>
      </c>
      <c r="C3" s="75" t="s">
        <v>1236</v>
      </c>
      <c r="D3" s="28" t="s">
        <v>1237</v>
      </c>
      <c r="E3" s="28">
        <f t="shared" ref="E3:E10" si="0">RIGHT(TRIM(D3),5)*1</f>
        <v>92130</v>
      </c>
      <c r="F3" s="143" t="str">
        <f>INDEX(PV_Summary!$B$18:$B$118,MATCH($E3,PV_Summary!$A$18:$A$118,0))</f>
        <v>N</v>
      </c>
      <c r="G3" s="123">
        <v>32.937114999999999</v>
      </c>
      <c r="H3" s="61">
        <v>-117.234416</v>
      </c>
      <c r="I3" s="44" t="s">
        <v>36</v>
      </c>
      <c r="J3" s="46">
        <f t="shared" ref="J3" ca="1" si="1">IF(O3&gt;1,Sym_Scl_Aggr_Parent,IF(O3&lt;1,Sym_Scl_Aggr_Child,Sym_Scl_Normal))</f>
        <v>1</v>
      </c>
      <c r="K3" s="100"/>
      <c r="L3" s="44" t="str">
        <f t="shared" ref="L3" ca="1" si="2">IF(O3&gt;1,"Total","")</f>
        <v/>
      </c>
      <c r="M3" s="46">
        <f t="shared" ref="M3" ca="1" si="3">IF(O3&gt;1,Label_Scl_Aggr_Parent,IF(O3&lt;1,Label_Scl_Aggr_Child,Label_Scl_Normal))</f>
        <v>1</v>
      </c>
      <c r="N3" s="46"/>
      <c r="O3" s="41">
        <f t="shared" ref="O3:O80" ca="1" si="4">IF($C3=$C2,0,COUNTIFS(Address,$C3))</f>
        <v>1</v>
      </c>
      <c r="P3" s="42">
        <v>157000</v>
      </c>
      <c r="Q3" s="44" t="s">
        <v>36</v>
      </c>
      <c r="R3" s="28" t="s">
        <v>55</v>
      </c>
      <c r="S3" s="48">
        <f t="shared" ref="S3:S96" si="5">IF(ISNUMBER(FIND("Existing",$Q3)),0,IF($P3=0,0,INDEX(PV_W_Type_Rating_Tbl,MATCH($Q3,PV_Type_List,0),MATCH($R3,Rating_List,0)+4*DC_AC_Num)*$P3))</f>
        <v>1099000</v>
      </c>
      <c r="T3" s="48">
        <f t="shared" ref="T3:T66" ca="1" si="6">SUMIF($C:$C,$C3,$S:$S)*IF($O3&gt;=1,1,0)</f>
        <v>1099000</v>
      </c>
      <c r="W3" s="28">
        <v>831</v>
      </c>
      <c r="X3" s="105">
        <v>1.33</v>
      </c>
      <c r="Y3" s="105">
        <v>8.8800000000000008</v>
      </c>
      <c r="Z3" s="73" t="s">
        <v>1249</v>
      </c>
      <c r="AA3" s="28">
        <v>0</v>
      </c>
    </row>
    <row r="4" spans="1:27" x14ac:dyDescent="0.25">
      <c r="A4" s="4"/>
      <c r="B4" s="28" t="s">
        <v>1488</v>
      </c>
      <c r="C4" s="75" t="s">
        <v>1489</v>
      </c>
      <c r="D4" s="28" t="s">
        <v>1237</v>
      </c>
      <c r="E4" s="28">
        <f t="shared" ref="E4" si="7">RIGHT(TRIM(D4),5)*1</f>
        <v>92130</v>
      </c>
      <c r="F4" s="143" t="str">
        <f>INDEX(PV_Summary!$B$18:$B$118,MATCH($E4,PV_Summary!$A$18:$A$118,0))</f>
        <v>N</v>
      </c>
      <c r="G4" s="123">
        <v>32.921973000000001</v>
      </c>
      <c r="H4" s="61">
        <v>-117.233057</v>
      </c>
      <c r="I4" s="44" t="s">
        <v>69</v>
      </c>
      <c r="J4" s="46">
        <f t="shared" ref="J4:J10" ca="1" si="8">IF(O4&gt;1,Sym_Scl_Aggr_Parent,IF(O4&lt;1,Sym_Scl_Aggr_Child,Sym_Scl_Normal))</f>
        <v>1.5</v>
      </c>
      <c r="K4" s="100"/>
      <c r="L4" s="44" t="str">
        <f t="shared" ref="L4:L10" ca="1" si="9">IF(O4&gt;1,"Total","")</f>
        <v>Total</v>
      </c>
      <c r="M4" s="46">
        <f t="shared" ref="M4:M10" ca="1" si="10">IF(O4&gt;1,Label_Scl_Aggr_Parent,IF(O4&lt;1,Label_Scl_Aggr_Child,Label_Scl_Normal))</f>
        <v>1.25</v>
      </c>
      <c r="N4" s="46"/>
      <c r="O4" s="41">
        <f t="shared" ca="1" si="4"/>
        <v>6</v>
      </c>
      <c r="Q4" s="44"/>
      <c r="S4" s="48">
        <f t="shared" si="5"/>
        <v>0</v>
      </c>
      <c r="T4" s="48">
        <f t="shared" ca="1" si="6"/>
        <v>1435000</v>
      </c>
      <c r="W4" s="28">
        <v>266</v>
      </c>
      <c r="X4" s="105">
        <v>1.1399999999999999</v>
      </c>
      <c r="Y4" s="105">
        <v>7.57</v>
      </c>
      <c r="Z4" s="73" t="s">
        <v>469</v>
      </c>
      <c r="AA4" s="28"/>
    </row>
    <row r="5" spans="1:27" x14ac:dyDescent="0.25">
      <c r="A5" s="4"/>
      <c r="B5" s="98" t="s">
        <v>1490</v>
      </c>
      <c r="C5" s="75" t="s">
        <v>1489</v>
      </c>
      <c r="D5" s="28" t="s">
        <v>1237</v>
      </c>
      <c r="E5" s="28">
        <f t="shared" ref="E5:E9" si="11">RIGHT(TRIM(D5),5)*1</f>
        <v>92130</v>
      </c>
      <c r="F5" s="143" t="str">
        <f>INDEX(PV_Summary!$B$18:$B$118,MATCH($E5,PV_Summary!$A$18:$A$118,0))</f>
        <v>N</v>
      </c>
      <c r="G5" s="123">
        <v>32.921978000000003</v>
      </c>
      <c r="H5" s="61">
        <v>-117.230565</v>
      </c>
      <c r="I5" s="44" t="s">
        <v>3</v>
      </c>
      <c r="J5" s="46">
        <f t="shared" si="8"/>
        <v>0.75</v>
      </c>
      <c r="K5" s="100"/>
      <c r="L5" s="44" t="str">
        <f t="shared" si="9"/>
        <v/>
      </c>
      <c r="M5" s="46">
        <f t="shared" si="10"/>
        <v>0.75</v>
      </c>
      <c r="N5" s="46"/>
      <c r="O5" s="41">
        <f t="shared" si="4"/>
        <v>0</v>
      </c>
      <c r="P5" s="42">
        <v>102000</v>
      </c>
      <c r="Q5" s="44" t="s">
        <v>3</v>
      </c>
      <c r="R5" s="28" t="s">
        <v>55</v>
      </c>
      <c r="S5" s="48">
        <f t="shared" si="5"/>
        <v>714000</v>
      </c>
      <c r="T5" s="48">
        <f t="shared" si="6"/>
        <v>0</v>
      </c>
      <c r="W5" s="28">
        <v>266</v>
      </c>
      <c r="X5" s="105">
        <v>1.1399999999999999</v>
      </c>
      <c r="Y5" s="105">
        <v>7.57</v>
      </c>
      <c r="Z5" s="73" t="s">
        <v>469</v>
      </c>
      <c r="AA5" s="28">
        <v>0</v>
      </c>
    </row>
    <row r="6" spans="1:27" x14ac:dyDescent="0.25">
      <c r="A6" s="4"/>
      <c r="B6" s="98" t="s">
        <v>1491</v>
      </c>
      <c r="C6" s="75" t="s">
        <v>1489</v>
      </c>
      <c r="D6" s="28" t="s">
        <v>1237</v>
      </c>
      <c r="E6" s="28">
        <f t="shared" si="11"/>
        <v>92130</v>
      </c>
      <c r="F6" s="143" t="str">
        <f>INDEX(PV_Summary!$B$18:$B$118,MATCH($E6,PV_Summary!$A$18:$A$118,0))</f>
        <v>N</v>
      </c>
      <c r="G6" s="123">
        <v>32.921325000000003</v>
      </c>
      <c r="H6" s="61">
        <v>-117.233631</v>
      </c>
      <c r="I6" s="44" t="s">
        <v>3</v>
      </c>
      <c r="J6" s="46">
        <f t="shared" si="8"/>
        <v>0.75</v>
      </c>
      <c r="K6" s="100"/>
      <c r="L6" s="44" t="str">
        <f t="shared" si="9"/>
        <v/>
      </c>
      <c r="M6" s="46">
        <f t="shared" si="10"/>
        <v>0.75</v>
      </c>
      <c r="N6" s="46"/>
      <c r="O6" s="41">
        <f t="shared" si="4"/>
        <v>0</v>
      </c>
      <c r="P6" s="42">
        <v>40000</v>
      </c>
      <c r="Q6" s="44" t="s">
        <v>3</v>
      </c>
      <c r="R6" s="28" t="s">
        <v>55</v>
      </c>
      <c r="S6" s="48">
        <f t="shared" si="5"/>
        <v>280000</v>
      </c>
      <c r="T6" s="48">
        <f t="shared" si="6"/>
        <v>0</v>
      </c>
      <c r="W6" s="28">
        <v>266</v>
      </c>
      <c r="X6" s="105">
        <v>1.1399999999999999</v>
      </c>
      <c r="Y6" s="105">
        <v>7.57</v>
      </c>
      <c r="Z6" s="73" t="s">
        <v>469</v>
      </c>
      <c r="AA6" s="28">
        <v>0</v>
      </c>
    </row>
    <row r="7" spans="1:27" x14ac:dyDescent="0.25">
      <c r="A7" s="4"/>
      <c r="B7" s="98" t="s">
        <v>1492</v>
      </c>
      <c r="C7" s="75" t="s">
        <v>1489</v>
      </c>
      <c r="D7" s="28" t="s">
        <v>1237</v>
      </c>
      <c r="E7" s="28">
        <f t="shared" si="11"/>
        <v>92130</v>
      </c>
      <c r="F7" s="143" t="str">
        <f>INDEX(PV_Summary!$B$18:$B$118,MATCH($E7,PV_Summary!$A$18:$A$118,0))</f>
        <v>N</v>
      </c>
      <c r="G7" s="123">
        <v>32.922598000000001</v>
      </c>
      <c r="H7" s="61">
        <v>-117.234005</v>
      </c>
      <c r="I7" s="44" t="s">
        <v>3</v>
      </c>
      <c r="J7" s="46">
        <f t="shared" si="8"/>
        <v>0.75</v>
      </c>
      <c r="K7" s="100"/>
      <c r="L7" s="44" t="str">
        <f t="shared" si="9"/>
        <v/>
      </c>
      <c r="M7" s="46">
        <f t="shared" si="10"/>
        <v>0.75</v>
      </c>
      <c r="N7" s="46"/>
      <c r="O7" s="41">
        <f t="shared" si="4"/>
        <v>0</v>
      </c>
      <c r="P7" s="42">
        <v>20000</v>
      </c>
      <c r="Q7" s="44" t="s">
        <v>3</v>
      </c>
      <c r="R7" s="28" t="s">
        <v>55</v>
      </c>
      <c r="S7" s="48">
        <f t="shared" si="5"/>
        <v>140000</v>
      </c>
      <c r="T7" s="48">
        <f t="shared" si="6"/>
        <v>0</v>
      </c>
      <c r="W7" s="28">
        <v>266</v>
      </c>
      <c r="X7" s="105">
        <v>1.1399999999999999</v>
      </c>
      <c r="Y7" s="105">
        <v>7.57</v>
      </c>
      <c r="Z7" s="73" t="s">
        <v>469</v>
      </c>
      <c r="AA7" s="28">
        <v>400</v>
      </c>
    </row>
    <row r="8" spans="1:27" x14ac:dyDescent="0.25">
      <c r="A8" s="4"/>
      <c r="B8" s="98" t="s">
        <v>1493</v>
      </c>
      <c r="C8" s="75" t="s">
        <v>1489</v>
      </c>
      <c r="D8" s="28" t="s">
        <v>1237</v>
      </c>
      <c r="E8" s="28">
        <f t="shared" si="11"/>
        <v>92130</v>
      </c>
      <c r="F8" s="143" t="str">
        <f>INDEX(PV_Summary!$B$18:$B$118,MATCH($E8,PV_Summary!$A$18:$A$118,0))</f>
        <v>N</v>
      </c>
      <c r="G8" s="123">
        <v>32.922004000000001</v>
      </c>
      <c r="H8" s="61">
        <v>-117.233797</v>
      </c>
      <c r="I8" s="44" t="s">
        <v>37</v>
      </c>
      <c r="J8" s="46">
        <f t="shared" si="8"/>
        <v>0.75</v>
      </c>
      <c r="K8" s="100"/>
      <c r="L8" s="44" t="str">
        <f t="shared" si="9"/>
        <v/>
      </c>
      <c r="M8" s="46">
        <f t="shared" si="10"/>
        <v>0.75</v>
      </c>
      <c r="N8" s="46"/>
      <c r="O8" s="41">
        <f t="shared" si="4"/>
        <v>0</v>
      </c>
      <c r="P8" s="42">
        <f>15000+8000</f>
        <v>23000</v>
      </c>
      <c r="Q8" s="44" t="s">
        <v>37</v>
      </c>
      <c r="R8" s="28" t="s">
        <v>55</v>
      </c>
      <c r="S8" s="48">
        <f t="shared" si="5"/>
        <v>161000</v>
      </c>
      <c r="T8" s="48">
        <f t="shared" si="6"/>
        <v>0</v>
      </c>
      <c r="W8" s="28">
        <v>266</v>
      </c>
      <c r="X8" s="105">
        <v>1.1399999999999999</v>
      </c>
      <c r="Y8" s="105">
        <v>7.57</v>
      </c>
      <c r="Z8" s="73" t="s">
        <v>469</v>
      </c>
      <c r="AA8" s="28">
        <v>200</v>
      </c>
    </row>
    <row r="9" spans="1:27" x14ac:dyDescent="0.25">
      <c r="A9" s="4"/>
      <c r="B9" s="98" t="s">
        <v>1494</v>
      </c>
      <c r="C9" s="75" t="s">
        <v>1489</v>
      </c>
      <c r="D9" s="28" t="s">
        <v>1237</v>
      </c>
      <c r="E9" s="28">
        <f t="shared" si="11"/>
        <v>92130</v>
      </c>
      <c r="F9" s="143" t="str">
        <f>INDEX(PV_Summary!$B$18:$B$118,MATCH($E9,PV_Summary!$A$18:$A$118,0))</f>
        <v>N</v>
      </c>
      <c r="G9" s="123">
        <v>32.921559999999999</v>
      </c>
      <c r="H9" s="61">
        <v>-117.23220499999999</v>
      </c>
      <c r="I9" s="44" t="s">
        <v>37</v>
      </c>
      <c r="J9" s="46">
        <f t="shared" si="8"/>
        <v>0.75</v>
      </c>
      <c r="K9" s="100"/>
      <c r="L9" s="44" t="str">
        <f t="shared" si="9"/>
        <v/>
      </c>
      <c r="M9" s="46">
        <f t="shared" si="10"/>
        <v>0.75</v>
      </c>
      <c r="N9" s="46"/>
      <c r="O9" s="41">
        <f t="shared" si="4"/>
        <v>0</v>
      </c>
      <c r="P9" s="42">
        <f>13000+7000</f>
        <v>20000</v>
      </c>
      <c r="Q9" s="44" t="s">
        <v>37</v>
      </c>
      <c r="R9" s="28" t="s">
        <v>55</v>
      </c>
      <c r="S9" s="48">
        <f t="shared" si="5"/>
        <v>140000</v>
      </c>
      <c r="T9" s="48">
        <f t="shared" si="6"/>
        <v>0</v>
      </c>
      <c r="W9" s="28">
        <v>266</v>
      </c>
      <c r="X9" s="105">
        <v>1.1399999999999999</v>
      </c>
      <c r="Y9" s="105">
        <v>7.57</v>
      </c>
      <c r="Z9" s="73" t="s">
        <v>469</v>
      </c>
      <c r="AA9" s="28">
        <v>200</v>
      </c>
    </row>
    <row r="10" spans="1:27" x14ac:dyDescent="0.25">
      <c r="A10" s="4"/>
      <c r="B10" s="28" t="s">
        <v>1148</v>
      </c>
      <c r="C10" s="75" t="s">
        <v>1141</v>
      </c>
      <c r="D10" s="28" t="s">
        <v>1142</v>
      </c>
      <c r="E10" s="28">
        <f t="shared" si="0"/>
        <v>92127</v>
      </c>
      <c r="F10" s="143" t="str">
        <f>INDEX(PV_Summary!$B$18:$B$118,MATCH($E10,PV_Summary!$A$18:$A$118,0))</f>
        <v>N</v>
      </c>
      <c r="G10" s="123">
        <v>33.018203</v>
      </c>
      <c r="H10" s="61">
        <v>-117.085942</v>
      </c>
      <c r="I10" s="44" t="s">
        <v>69</v>
      </c>
      <c r="J10" s="46">
        <f t="shared" ca="1" si="8"/>
        <v>1.5</v>
      </c>
      <c r="K10" s="100"/>
      <c r="L10" s="44" t="str">
        <f t="shared" ca="1" si="9"/>
        <v>Total</v>
      </c>
      <c r="M10" s="46">
        <f t="shared" ca="1" si="10"/>
        <v>1.25</v>
      </c>
      <c r="N10" s="46"/>
      <c r="O10" s="41">
        <f t="shared" ca="1" si="4"/>
        <v>6</v>
      </c>
      <c r="Q10" s="44"/>
      <c r="S10" s="48">
        <f t="shared" si="5"/>
        <v>0</v>
      </c>
      <c r="T10" s="48">
        <f t="shared" ca="1" si="6"/>
        <v>4741000</v>
      </c>
      <c r="U10" s="28" t="s">
        <v>1250</v>
      </c>
      <c r="W10" s="28">
        <v>537</v>
      </c>
      <c r="X10" s="105">
        <v>1.46</v>
      </c>
      <c r="Y10" s="105">
        <v>9.75</v>
      </c>
      <c r="Z10" s="73" t="s">
        <v>1251</v>
      </c>
      <c r="AA10" s="28"/>
    </row>
    <row r="11" spans="1:27" x14ac:dyDescent="0.25">
      <c r="A11" s="4"/>
      <c r="B11" s="98" t="s">
        <v>1143</v>
      </c>
      <c r="C11" s="75" t="s">
        <v>1141</v>
      </c>
      <c r="D11" s="28" t="s">
        <v>1142</v>
      </c>
      <c r="E11" s="28">
        <f t="shared" ref="E11:E13" si="12">RIGHT(TRIM(D11),5)*1</f>
        <v>92127</v>
      </c>
      <c r="F11" s="143" t="str">
        <f>INDEX(PV_Summary!$B$18:$B$118,MATCH($E11,PV_Summary!$A$18:$A$118,0))</f>
        <v>N</v>
      </c>
      <c r="G11" s="123">
        <v>33.016888000000002</v>
      </c>
      <c r="H11" s="61">
        <v>-117.086359</v>
      </c>
      <c r="I11" s="44" t="s">
        <v>37</v>
      </c>
      <c r="J11" s="46">
        <f t="shared" ref="J11:J59" si="13">IF(O11&gt;1,Sym_Scl_Aggr_Parent,IF(O11&lt;1,Sym_Scl_Aggr_Child,Sym_Scl_Normal))</f>
        <v>0.75</v>
      </c>
      <c r="K11" s="100"/>
      <c r="L11" s="44" t="str">
        <f t="shared" ref="L11:L59" si="14">IF(O11&gt;1,"Total","")</f>
        <v/>
      </c>
      <c r="M11" s="46">
        <f t="shared" ref="M11:M59" si="15">IF(O11&gt;1,Label_Scl_Aggr_Parent,IF(O11&lt;1,Label_Scl_Aggr_Child,Label_Scl_Normal))</f>
        <v>0.75</v>
      </c>
      <c r="N11" s="46"/>
      <c r="O11" s="41">
        <f t="shared" si="4"/>
        <v>0</v>
      </c>
      <c r="P11" s="42">
        <v>262000</v>
      </c>
      <c r="Q11" s="44" t="s">
        <v>37</v>
      </c>
      <c r="R11" s="28" t="s">
        <v>57</v>
      </c>
      <c r="S11" s="48">
        <f t="shared" si="5"/>
        <v>1310000</v>
      </c>
      <c r="T11" s="48">
        <f t="shared" si="6"/>
        <v>0</v>
      </c>
      <c r="W11" s="28">
        <v>537</v>
      </c>
      <c r="X11" s="105">
        <v>1.46</v>
      </c>
      <c r="Y11" s="105">
        <v>9.75</v>
      </c>
      <c r="Z11" s="73" t="s">
        <v>1251</v>
      </c>
      <c r="AA11" s="28">
        <v>0</v>
      </c>
    </row>
    <row r="12" spans="1:27" x14ac:dyDescent="0.25">
      <c r="A12" s="4"/>
      <c r="B12" s="98" t="s">
        <v>1147</v>
      </c>
      <c r="C12" s="75" t="s">
        <v>1141</v>
      </c>
      <c r="D12" s="28" t="s">
        <v>1142</v>
      </c>
      <c r="E12" s="28">
        <f t="shared" si="12"/>
        <v>92127</v>
      </c>
      <c r="F12" s="143" t="str">
        <f>INDEX(PV_Summary!$B$18:$B$118,MATCH($E12,PV_Summary!$A$18:$A$118,0))</f>
        <v>N</v>
      </c>
      <c r="G12" s="123">
        <v>33.018973000000003</v>
      </c>
      <c r="H12" s="61">
        <v>-117.084557</v>
      </c>
      <c r="I12" s="44" t="s">
        <v>37</v>
      </c>
      <c r="J12" s="46">
        <f t="shared" si="13"/>
        <v>0.75</v>
      </c>
      <c r="K12" s="100"/>
      <c r="L12" s="44" t="str">
        <f t="shared" si="14"/>
        <v/>
      </c>
      <c r="M12" s="46">
        <f t="shared" si="15"/>
        <v>0.75</v>
      </c>
      <c r="N12" s="46"/>
      <c r="O12" s="41">
        <f t="shared" si="4"/>
        <v>0</v>
      </c>
      <c r="P12" s="42">
        <v>160000</v>
      </c>
      <c r="Q12" s="44" t="s">
        <v>37</v>
      </c>
      <c r="R12" s="28" t="s">
        <v>56</v>
      </c>
      <c r="S12" s="48">
        <f t="shared" si="5"/>
        <v>960000</v>
      </c>
      <c r="T12" s="48">
        <f t="shared" si="6"/>
        <v>0</v>
      </c>
      <c r="W12" s="28">
        <v>534</v>
      </c>
      <c r="X12" s="105">
        <v>1.75</v>
      </c>
      <c r="Y12" s="105">
        <v>11.65</v>
      </c>
      <c r="Z12" s="73" t="s">
        <v>1251</v>
      </c>
      <c r="AA12" s="28">
        <v>0</v>
      </c>
    </row>
    <row r="13" spans="1:27" x14ac:dyDescent="0.25">
      <c r="A13" s="4"/>
      <c r="B13" s="98" t="s">
        <v>1144</v>
      </c>
      <c r="C13" s="75" t="s">
        <v>1141</v>
      </c>
      <c r="D13" s="28" t="s">
        <v>1142</v>
      </c>
      <c r="E13" s="28">
        <f t="shared" si="12"/>
        <v>92127</v>
      </c>
      <c r="F13" s="143" t="str">
        <f>INDEX(PV_Summary!$B$18:$B$118,MATCH($E13,PV_Summary!$A$18:$A$118,0))</f>
        <v>N</v>
      </c>
      <c r="G13" s="123">
        <v>33.019606000000003</v>
      </c>
      <c r="H13" s="61">
        <v>-117.08598499999999</v>
      </c>
      <c r="I13" s="44" t="s">
        <v>3</v>
      </c>
      <c r="J13" s="46">
        <f t="shared" si="13"/>
        <v>0.75</v>
      </c>
      <c r="K13" s="100"/>
      <c r="L13" s="44" t="str">
        <f t="shared" si="14"/>
        <v/>
      </c>
      <c r="M13" s="46">
        <f t="shared" si="15"/>
        <v>0.75</v>
      </c>
      <c r="N13" s="46"/>
      <c r="O13" s="41">
        <f t="shared" si="4"/>
        <v>0</v>
      </c>
      <c r="P13" s="42">
        <v>176000</v>
      </c>
      <c r="Q13" s="44" t="s">
        <v>3</v>
      </c>
      <c r="R13" s="28" t="s">
        <v>55</v>
      </c>
      <c r="S13" s="48">
        <f t="shared" si="5"/>
        <v>1232000</v>
      </c>
      <c r="T13" s="48">
        <f t="shared" si="6"/>
        <v>0</v>
      </c>
      <c r="W13" s="28">
        <v>534</v>
      </c>
      <c r="X13" s="105">
        <v>1.75</v>
      </c>
      <c r="Y13" s="105">
        <v>11.65</v>
      </c>
      <c r="Z13" s="73" t="s">
        <v>1251</v>
      </c>
      <c r="AA13" s="28">
        <v>200</v>
      </c>
    </row>
    <row r="14" spans="1:27" x14ac:dyDescent="0.25">
      <c r="A14" s="4"/>
      <c r="B14" s="98" t="s">
        <v>1145</v>
      </c>
      <c r="C14" s="75" t="s">
        <v>1141</v>
      </c>
      <c r="D14" s="28" t="s">
        <v>1142</v>
      </c>
      <c r="E14" s="28">
        <f t="shared" ref="E14:E28" si="16">RIGHT(TRIM(D14),5)*1</f>
        <v>92127</v>
      </c>
      <c r="F14" s="143" t="str">
        <f>INDEX(PV_Summary!$B$18:$B$118,MATCH($E14,PV_Summary!$A$18:$A$118,0))</f>
        <v>N</v>
      </c>
      <c r="G14" s="123">
        <v>33.017420000000001</v>
      </c>
      <c r="H14" s="61">
        <v>-117.086974</v>
      </c>
      <c r="I14" s="44" t="s">
        <v>3</v>
      </c>
      <c r="J14" s="46">
        <f t="shared" si="13"/>
        <v>0.75</v>
      </c>
      <c r="K14" s="100"/>
      <c r="L14" s="44" t="str">
        <f t="shared" si="14"/>
        <v/>
      </c>
      <c r="M14" s="46">
        <f t="shared" si="15"/>
        <v>0.75</v>
      </c>
      <c r="N14" s="46"/>
      <c r="O14" s="41">
        <f t="shared" si="4"/>
        <v>0</v>
      </c>
      <c r="P14" s="42">
        <v>108000</v>
      </c>
      <c r="Q14" s="44" t="s">
        <v>3</v>
      </c>
      <c r="R14" s="28" t="s">
        <v>55</v>
      </c>
      <c r="S14" s="48">
        <f t="shared" si="5"/>
        <v>756000</v>
      </c>
      <c r="T14" s="48">
        <f t="shared" si="6"/>
        <v>0</v>
      </c>
      <c r="W14" s="28">
        <v>534</v>
      </c>
      <c r="X14" s="105">
        <v>1.75</v>
      </c>
      <c r="Y14" s="105">
        <v>11.65</v>
      </c>
      <c r="Z14" s="73" t="s">
        <v>1251</v>
      </c>
      <c r="AA14" s="28">
        <v>100</v>
      </c>
    </row>
    <row r="15" spans="1:27" x14ac:dyDescent="0.25">
      <c r="A15" s="4"/>
      <c r="B15" s="98" t="s">
        <v>1146</v>
      </c>
      <c r="C15" s="75" t="s">
        <v>1141</v>
      </c>
      <c r="D15" s="28" t="s">
        <v>1142</v>
      </c>
      <c r="E15" s="28">
        <f t="shared" si="16"/>
        <v>92127</v>
      </c>
      <c r="F15" s="143" t="str">
        <f>INDEX(PV_Summary!$B$18:$B$118,MATCH($E15,PV_Summary!$A$18:$A$118,0))</f>
        <v>N</v>
      </c>
      <c r="G15" s="123">
        <v>33.017429</v>
      </c>
      <c r="H15" s="61">
        <v>-117.085171</v>
      </c>
      <c r="I15" s="44" t="s">
        <v>3</v>
      </c>
      <c r="J15" s="46">
        <f t="shared" si="13"/>
        <v>0.75</v>
      </c>
      <c r="K15" s="100"/>
      <c r="L15" s="44" t="str">
        <f t="shared" si="14"/>
        <v/>
      </c>
      <c r="M15" s="46">
        <f t="shared" si="15"/>
        <v>0.75</v>
      </c>
      <c r="N15" s="46"/>
      <c r="O15" s="41">
        <f t="shared" si="4"/>
        <v>0</v>
      </c>
      <c r="P15" s="42">
        <v>69000</v>
      </c>
      <c r="Q15" s="44" t="s">
        <v>3</v>
      </c>
      <c r="R15" s="28" t="s">
        <v>55</v>
      </c>
      <c r="S15" s="48">
        <f t="shared" si="5"/>
        <v>483000</v>
      </c>
      <c r="T15" s="48">
        <f t="shared" si="6"/>
        <v>0</v>
      </c>
      <c r="W15" s="28">
        <v>537</v>
      </c>
      <c r="X15" s="105">
        <v>1.46</v>
      </c>
      <c r="Y15" s="105">
        <v>9.75</v>
      </c>
      <c r="Z15" s="73" t="s">
        <v>1251</v>
      </c>
      <c r="AA15" s="28">
        <v>300</v>
      </c>
    </row>
    <row r="16" spans="1:27" x14ac:dyDescent="0.25">
      <c r="A16" s="4"/>
      <c r="B16" s="62" t="s">
        <v>592</v>
      </c>
      <c r="C16" s="75" t="s">
        <v>1180</v>
      </c>
      <c r="D16" s="28" t="s">
        <v>1142</v>
      </c>
      <c r="E16" s="28">
        <f t="shared" si="16"/>
        <v>92127</v>
      </c>
      <c r="F16" s="143" t="str">
        <f>INDEX(PV_Summary!$B$18:$B$118,MATCH($E16,PV_Summary!$A$18:$A$118,0))</f>
        <v>N</v>
      </c>
      <c r="G16" s="123">
        <v>33.020079000000003</v>
      </c>
      <c r="H16" s="61">
        <v>-117.12541299999999</v>
      </c>
      <c r="I16" s="44" t="s">
        <v>62</v>
      </c>
      <c r="J16" s="46">
        <f t="shared" ref="J16:J22" ca="1" si="17">IF(O16&gt;1,Sym_Scl_Aggr_Parent,IF(O16&lt;1,Sym_Scl_Aggr_Child,Sym_Scl_Normal))</f>
        <v>1.5</v>
      </c>
      <c r="K16" s="100"/>
      <c r="L16" s="44" t="str">
        <f t="shared" ref="L16:L22" ca="1" si="18">IF(O16&gt;1,"Total","")</f>
        <v>Total</v>
      </c>
      <c r="M16" s="46">
        <f t="shared" ref="M16:M22" ca="1" si="19">IF(O16&gt;1,Label_Scl_Aggr_Parent,IF(O16&lt;1,Label_Scl_Aggr_Child,Label_Scl_Normal))</f>
        <v>1.25</v>
      </c>
      <c r="N16" s="46"/>
      <c r="O16" s="41">
        <f t="shared" ca="1" si="4"/>
        <v>7</v>
      </c>
      <c r="Q16" s="44"/>
      <c r="S16" s="48">
        <f t="shared" si="5"/>
        <v>0</v>
      </c>
      <c r="T16" s="48">
        <f t="shared" ca="1" si="6"/>
        <v>2713000</v>
      </c>
      <c r="U16" s="28" t="s">
        <v>1252</v>
      </c>
      <c r="W16" s="28">
        <v>1104</v>
      </c>
      <c r="X16" s="105">
        <v>0.88</v>
      </c>
      <c r="Y16" s="105">
        <v>5.27</v>
      </c>
      <c r="Z16" s="73" t="s">
        <v>1239</v>
      </c>
      <c r="AA16" s="28"/>
    </row>
    <row r="17" spans="1:27" x14ac:dyDescent="0.25">
      <c r="A17" s="4"/>
      <c r="B17" s="98" t="s">
        <v>210</v>
      </c>
      <c r="C17" s="75" t="s">
        <v>1180</v>
      </c>
      <c r="D17" s="28" t="s">
        <v>1142</v>
      </c>
      <c r="E17" s="28">
        <f t="shared" ref="E17:E23" si="20">RIGHT(TRIM(D17),5)*1</f>
        <v>92127</v>
      </c>
      <c r="F17" s="143" t="str">
        <f>INDEX(PV_Summary!$B$18:$B$118,MATCH($E17,PV_Summary!$A$18:$A$118,0))</f>
        <v>N</v>
      </c>
      <c r="G17" s="123">
        <v>33.019455000000001</v>
      </c>
      <c r="H17" s="61">
        <v>-117.125607</v>
      </c>
      <c r="I17" s="44" t="s">
        <v>37</v>
      </c>
      <c r="J17" s="46">
        <f t="shared" si="17"/>
        <v>0.75</v>
      </c>
      <c r="K17" s="100"/>
      <c r="L17" s="44" t="str">
        <f t="shared" si="18"/>
        <v/>
      </c>
      <c r="M17" s="46">
        <f t="shared" si="19"/>
        <v>0.75</v>
      </c>
      <c r="N17" s="46"/>
      <c r="O17" s="41">
        <f t="shared" si="4"/>
        <v>0</v>
      </c>
      <c r="P17" s="42">
        <v>136000</v>
      </c>
      <c r="Q17" s="44" t="s">
        <v>37</v>
      </c>
      <c r="R17" s="28" t="s">
        <v>56</v>
      </c>
      <c r="S17" s="48">
        <f t="shared" si="5"/>
        <v>816000</v>
      </c>
      <c r="T17" s="48">
        <f t="shared" si="6"/>
        <v>0</v>
      </c>
      <c r="W17" s="28">
        <v>1104</v>
      </c>
      <c r="X17" s="105">
        <v>0.88</v>
      </c>
      <c r="Y17" s="105">
        <v>5.27</v>
      </c>
      <c r="Z17" s="73" t="s">
        <v>1239</v>
      </c>
      <c r="AA17" s="28">
        <v>0</v>
      </c>
    </row>
    <row r="18" spans="1:27" x14ac:dyDescent="0.25">
      <c r="A18" s="4"/>
      <c r="B18" s="98" t="s">
        <v>1181</v>
      </c>
      <c r="C18" s="75" t="s">
        <v>1180</v>
      </c>
      <c r="D18" s="28" t="s">
        <v>1142</v>
      </c>
      <c r="E18" s="28">
        <f t="shared" si="20"/>
        <v>92127</v>
      </c>
      <c r="F18" s="143" t="str">
        <f>INDEX(PV_Summary!$B$18:$B$118,MATCH($E18,PV_Summary!$A$18:$A$118,0))</f>
        <v>N</v>
      </c>
      <c r="G18" s="123">
        <v>33.019829000000001</v>
      </c>
      <c r="H18" s="61">
        <v>-117.126283</v>
      </c>
      <c r="I18" s="44" t="s">
        <v>3</v>
      </c>
      <c r="J18" s="46">
        <f t="shared" si="17"/>
        <v>0.75</v>
      </c>
      <c r="K18" s="100"/>
      <c r="L18" s="44" t="str">
        <f t="shared" si="18"/>
        <v/>
      </c>
      <c r="M18" s="46">
        <f t="shared" si="19"/>
        <v>0.75</v>
      </c>
      <c r="N18" s="46"/>
      <c r="O18" s="41">
        <f t="shared" si="4"/>
        <v>0</v>
      </c>
      <c r="P18" s="42">
        <v>36000</v>
      </c>
      <c r="Q18" s="44" t="s">
        <v>3</v>
      </c>
      <c r="R18" s="28" t="s">
        <v>55</v>
      </c>
      <c r="S18" s="48">
        <f t="shared" si="5"/>
        <v>252000</v>
      </c>
      <c r="T18" s="48">
        <f t="shared" si="6"/>
        <v>0</v>
      </c>
      <c r="W18" s="28">
        <v>1104</v>
      </c>
      <c r="X18" s="105">
        <v>0.88</v>
      </c>
      <c r="Y18" s="105">
        <v>5.27</v>
      </c>
      <c r="Z18" s="73" t="s">
        <v>1239</v>
      </c>
      <c r="AA18" s="28">
        <v>100</v>
      </c>
    </row>
    <row r="19" spans="1:27" x14ac:dyDescent="0.25">
      <c r="A19" s="4"/>
      <c r="B19" s="98" t="s">
        <v>1182</v>
      </c>
      <c r="C19" s="75" t="s">
        <v>1180</v>
      </c>
      <c r="D19" s="28" t="s">
        <v>1142</v>
      </c>
      <c r="E19" s="28">
        <f t="shared" si="20"/>
        <v>92127</v>
      </c>
      <c r="F19" s="143" t="str">
        <f>INDEX(PV_Summary!$B$18:$B$118,MATCH($E19,PV_Summary!$A$18:$A$118,0))</f>
        <v>N</v>
      </c>
      <c r="G19" s="123">
        <v>33.020775999999998</v>
      </c>
      <c r="H19" s="61">
        <v>-117.12606100000001</v>
      </c>
      <c r="I19" s="44" t="s">
        <v>3</v>
      </c>
      <c r="J19" s="46">
        <f t="shared" si="17"/>
        <v>0.75</v>
      </c>
      <c r="K19" s="100"/>
      <c r="L19" s="44" t="str">
        <f t="shared" si="18"/>
        <v/>
      </c>
      <c r="M19" s="46">
        <f t="shared" si="19"/>
        <v>0.75</v>
      </c>
      <c r="N19" s="46"/>
      <c r="O19" s="41">
        <f t="shared" si="4"/>
        <v>0</v>
      </c>
      <c r="P19" s="42">
        <v>50000</v>
      </c>
      <c r="Q19" s="44" t="s">
        <v>3</v>
      </c>
      <c r="R19" s="28" t="s">
        <v>55</v>
      </c>
      <c r="S19" s="48">
        <f t="shared" si="5"/>
        <v>350000</v>
      </c>
      <c r="T19" s="48">
        <f t="shared" si="6"/>
        <v>0</v>
      </c>
      <c r="W19" s="28">
        <v>1104</v>
      </c>
      <c r="X19" s="105">
        <v>0.88</v>
      </c>
      <c r="Y19" s="105">
        <v>5.27</v>
      </c>
      <c r="Z19" s="73" t="s">
        <v>1239</v>
      </c>
      <c r="AA19" s="28">
        <v>200</v>
      </c>
    </row>
    <row r="20" spans="1:27" x14ac:dyDescent="0.25">
      <c r="A20" s="4"/>
      <c r="B20" s="98" t="s">
        <v>1183</v>
      </c>
      <c r="C20" s="75" t="s">
        <v>1180</v>
      </c>
      <c r="D20" s="28" t="s">
        <v>1142</v>
      </c>
      <c r="E20" s="28">
        <f t="shared" si="20"/>
        <v>92127</v>
      </c>
      <c r="F20" s="143" t="str">
        <f>INDEX(PV_Summary!$B$18:$B$118,MATCH($E20,PV_Summary!$A$18:$A$118,0))</f>
        <v>N</v>
      </c>
      <c r="G20" s="123">
        <v>33.020772999999998</v>
      </c>
      <c r="H20" s="61">
        <v>-117.125474</v>
      </c>
      <c r="I20" s="44" t="s">
        <v>3</v>
      </c>
      <c r="J20" s="46">
        <f t="shared" si="17"/>
        <v>0.75</v>
      </c>
      <c r="K20" s="100"/>
      <c r="L20" s="44" t="str">
        <f t="shared" si="18"/>
        <v/>
      </c>
      <c r="M20" s="46">
        <f t="shared" si="19"/>
        <v>0.75</v>
      </c>
      <c r="N20" s="46"/>
      <c r="O20" s="41">
        <f t="shared" si="4"/>
        <v>0</v>
      </c>
      <c r="P20" s="42">
        <v>29000</v>
      </c>
      <c r="Q20" s="44" t="s">
        <v>3</v>
      </c>
      <c r="R20" s="28" t="s">
        <v>55</v>
      </c>
      <c r="S20" s="48">
        <f t="shared" si="5"/>
        <v>203000</v>
      </c>
      <c r="T20" s="48">
        <f t="shared" si="6"/>
        <v>0</v>
      </c>
      <c r="W20" s="28">
        <v>1100</v>
      </c>
      <c r="X20" s="105">
        <v>1.23</v>
      </c>
      <c r="Y20" s="105">
        <v>8.18</v>
      </c>
      <c r="Z20" s="73" t="s">
        <v>1239</v>
      </c>
      <c r="AA20" s="28">
        <v>300</v>
      </c>
    </row>
    <row r="21" spans="1:27" x14ac:dyDescent="0.25">
      <c r="A21" s="4"/>
      <c r="B21" s="98" t="s">
        <v>1184</v>
      </c>
      <c r="C21" s="75" t="s">
        <v>1180</v>
      </c>
      <c r="D21" s="28" t="s">
        <v>1142</v>
      </c>
      <c r="E21" s="28">
        <f t="shared" si="20"/>
        <v>92127</v>
      </c>
      <c r="F21" s="143" t="str">
        <f>INDEX(PV_Summary!$B$18:$B$118,MATCH($E21,PV_Summary!$A$18:$A$118,0))</f>
        <v>N</v>
      </c>
      <c r="G21" s="123">
        <v>33.020561999999998</v>
      </c>
      <c r="H21" s="61">
        <v>-117.12485100000001</v>
      </c>
      <c r="I21" s="44" t="s">
        <v>3</v>
      </c>
      <c r="J21" s="46">
        <f t="shared" si="17"/>
        <v>0.75</v>
      </c>
      <c r="K21" s="100"/>
      <c r="L21" s="44" t="str">
        <f t="shared" si="18"/>
        <v/>
      </c>
      <c r="M21" s="46">
        <f t="shared" si="19"/>
        <v>0.75</v>
      </c>
      <c r="N21" s="46"/>
      <c r="O21" s="41">
        <f t="shared" si="4"/>
        <v>0</v>
      </c>
      <c r="P21" s="42">
        <v>80000</v>
      </c>
      <c r="Q21" s="44" t="s">
        <v>3</v>
      </c>
      <c r="R21" s="28" t="s">
        <v>55</v>
      </c>
      <c r="S21" s="48">
        <f t="shared" si="5"/>
        <v>560000</v>
      </c>
      <c r="T21" s="48">
        <f t="shared" si="6"/>
        <v>0</v>
      </c>
      <c r="W21" s="28">
        <v>1100</v>
      </c>
      <c r="X21" s="105">
        <v>1.23</v>
      </c>
      <c r="Y21" s="105">
        <v>8.18</v>
      </c>
      <c r="Z21" s="73" t="s">
        <v>1239</v>
      </c>
      <c r="AA21" s="28">
        <v>300</v>
      </c>
    </row>
    <row r="22" spans="1:27" x14ac:dyDescent="0.25">
      <c r="A22" s="4"/>
      <c r="B22" s="98" t="s">
        <v>1185</v>
      </c>
      <c r="C22" s="75" t="s">
        <v>1180</v>
      </c>
      <c r="D22" s="28" t="s">
        <v>1142</v>
      </c>
      <c r="E22" s="28">
        <f t="shared" si="20"/>
        <v>92127</v>
      </c>
      <c r="F22" s="143" t="str">
        <f>INDEX(PV_Summary!$B$18:$B$118,MATCH($E22,PV_Summary!$A$18:$A$118,0))</f>
        <v>N</v>
      </c>
      <c r="G22" s="123">
        <v>33.020099999999999</v>
      </c>
      <c r="H22" s="61">
        <v>-117.12313</v>
      </c>
      <c r="I22" s="44" t="s">
        <v>3</v>
      </c>
      <c r="J22" s="46">
        <f t="shared" si="17"/>
        <v>0.75</v>
      </c>
      <c r="K22" s="100"/>
      <c r="L22" s="44" t="str">
        <f t="shared" si="18"/>
        <v/>
      </c>
      <c r="M22" s="46">
        <f t="shared" si="19"/>
        <v>0.75</v>
      </c>
      <c r="N22" s="46"/>
      <c r="O22" s="41">
        <f t="shared" si="4"/>
        <v>0</v>
      </c>
      <c r="P22" s="42">
        <v>76000</v>
      </c>
      <c r="Q22" s="44" t="s">
        <v>3</v>
      </c>
      <c r="R22" s="28" t="s">
        <v>55</v>
      </c>
      <c r="S22" s="48">
        <f t="shared" si="5"/>
        <v>532000</v>
      </c>
      <c r="T22" s="48">
        <f t="shared" si="6"/>
        <v>0</v>
      </c>
      <c r="W22" s="28">
        <v>1100</v>
      </c>
      <c r="X22" s="105">
        <v>1.23</v>
      </c>
      <c r="Y22" s="105">
        <v>8.18</v>
      </c>
      <c r="Z22" s="73" t="s">
        <v>1239</v>
      </c>
      <c r="AA22" s="28">
        <v>200</v>
      </c>
    </row>
    <row r="23" spans="1:27" x14ac:dyDescent="0.25">
      <c r="A23" s="4"/>
      <c r="B23" s="62" t="s">
        <v>1186</v>
      </c>
      <c r="C23" s="75" t="s">
        <v>1187</v>
      </c>
      <c r="D23" s="28" t="s">
        <v>1142</v>
      </c>
      <c r="E23" s="28">
        <f t="shared" si="20"/>
        <v>92127</v>
      </c>
      <c r="F23" s="143" t="str">
        <f>INDEX(PV_Summary!$B$18:$B$118,MATCH($E23,PV_Summary!$A$18:$A$118,0))</f>
        <v>N</v>
      </c>
      <c r="G23" s="123">
        <v>33.014448000000002</v>
      </c>
      <c r="H23" s="61">
        <v>-117.12153000000001</v>
      </c>
      <c r="I23" s="44" t="s">
        <v>63</v>
      </c>
      <c r="J23" s="46">
        <f t="shared" ref="J23:J28" ca="1" si="21">IF(O23&gt;1,Sym_Scl_Aggr_Parent,IF(O23&lt;1,Sym_Scl_Aggr_Child,Sym_Scl_Normal))</f>
        <v>1.5</v>
      </c>
      <c r="K23" s="100"/>
      <c r="L23" s="44" t="str">
        <f t="shared" ref="L23:L28" ca="1" si="22">IF(O23&gt;1,"Total","")</f>
        <v>Total</v>
      </c>
      <c r="M23" s="46">
        <f t="shared" ref="M23:M28" ca="1" si="23">IF(O23&gt;1,Label_Scl_Aggr_Parent,IF(O23&lt;1,Label_Scl_Aggr_Child,Label_Scl_Normal))</f>
        <v>1.25</v>
      </c>
      <c r="N23" s="46"/>
      <c r="O23" s="41">
        <f t="shared" ca="1" si="4"/>
        <v>5</v>
      </c>
      <c r="Q23" s="44"/>
      <c r="S23" s="48">
        <f t="shared" si="5"/>
        <v>0</v>
      </c>
      <c r="T23" s="48">
        <f t="shared" ca="1" si="6"/>
        <v>2044000</v>
      </c>
      <c r="U23" s="28" t="s">
        <v>1253</v>
      </c>
      <c r="W23" s="28">
        <v>1104</v>
      </c>
      <c r="X23" s="105">
        <v>0.88</v>
      </c>
      <c r="Y23" s="105">
        <v>5.27</v>
      </c>
      <c r="Z23" s="73" t="s">
        <v>1239</v>
      </c>
      <c r="AA23" s="28"/>
    </row>
    <row r="24" spans="1:27" x14ac:dyDescent="0.25">
      <c r="A24" s="4"/>
      <c r="B24" s="98" t="s">
        <v>1188</v>
      </c>
      <c r="C24" s="75" t="s">
        <v>1187</v>
      </c>
      <c r="D24" s="28" t="s">
        <v>1142</v>
      </c>
      <c r="E24" s="28">
        <f t="shared" ref="E24:E27" si="24">RIGHT(TRIM(D24),5)*1</f>
        <v>92127</v>
      </c>
      <c r="F24" s="143" t="str">
        <f>INDEX(PV_Summary!$B$18:$B$118,MATCH($E24,PV_Summary!$A$18:$A$118,0))</f>
        <v>N</v>
      </c>
      <c r="G24" s="123">
        <v>33.015134000000003</v>
      </c>
      <c r="H24" s="61">
        <v>-117.123485</v>
      </c>
      <c r="I24" s="44" t="s">
        <v>3</v>
      </c>
      <c r="J24" s="46">
        <f t="shared" si="21"/>
        <v>0.75</v>
      </c>
      <c r="K24" s="100"/>
      <c r="L24" s="44" t="str">
        <f t="shared" si="22"/>
        <v/>
      </c>
      <c r="M24" s="46">
        <f t="shared" si="23"/>
        <v>0.75</v>
      </c>
      <c r="N24" s="46"/>
      <c r="O24" s="41">
        <f t="shared" si="4"/>
        <v>0</v>
      </c>
      <c r="P24" s="42">
        <v>51000</v>
      </c>
      <c r="Q24" s="44" t="s">
        <v>3</v>
      </c>
      <c r="R24" s="28" t="s">
        <v>55</v>
      </c>
      <c r="S24" s="48">
        <f t="shared" si="5"/>
        <v>357000</v>
      </c>
      <c r="T24" s="48">
        <f t="shared" si="6"/>
        <v>0</v>
      </c>
      <c r="W24" s="28">
        <v>1104</v>
      </c>
      <c r="X24" s="105">
        <v>0.88</v>
      </c>
      <c r="Y24" s="105">
        <v>5.27</v>
      </c>
      <c r="Z24" s="73" t="s">
        <v>1239</v>
      </c>
      <c r="AA24" s="28">
        <v>0</v>
      </c>
    </row>
    <row r="25" spans="1:27" x14ac:dyDescent="0.25">
      <c r="A25" s="4"/>
      <c r="B25" s="98" t="s">
        <v>1189</v>
      </c>
      <c r="C25" s="75" t="s">
        <v>1187</v>
      </c>
      <c r="D25" s="28" t="s">
        <v>1142</v>
      </c>
      <c r="E25" s="28">
        <f t="shared" si="24"/>
        <v>92127</v>
      </c>
      <c r="F25" s="143" t="str">
        <f>INDEX(PV_Summary!$B$18:$B$118,MATCH($E25,PV_Summary!$A$18:$A$118,0))</f>
        <v>N</v>
      </c>
      <c r="G25" s="123">
        <v>33.015884999999997</v>
      </c>
      <c r="H25" s="61">
        <v>-117.12273500000001</v>
      </c>
      <c r="I25" s="44" t="s">
        <v>3</v>
      </c>
      <c r="J25" s="46">
        <f t="shared" si="21"/>
        <v>0.75</v>
      </c>
      <c r="K25" s="100"/>
      <c r="L25" s="44" t="str">
        <f t="shared" si="22"/>
        <v/>
      </c>
      <c r="M25" s="46">
        <f t="shared" si="23"/>
        <v>0.75</v>
      </c>
      <c r="N25" s="46"/>
      <c r="O25" s="41">
        <f t="shared" si="4"/>
        <v>0</v>
      </c>
      <c r="P25" s="42">
        <v>123000</v>
      </c>
      <c r="Q25" s="44" t="s">
        <v>3</v>
      </c>
      <c r="R25" s="28" t="s">
        <v>55</v>
      </c>
      <c r="S25" s="48">
        <f t="shared" si="5"/>
        <v>861000</v>
      </c>
      <c r="T25" s="48">
        <f t="shared" si="6"/>
        <v>0</v>
      </c>
      <c r="W25" s="28">
        <v>1104</v>
      </c>
      <c r="X25" s="105">
        <v>0.88</v>
      </c>
      <c r="Y25" s="105">
        <v>5.27</v>
      </c>
      <c r="Z25" s="73" t="s">
        <v>1239</v>
      </c>
      <c r="AA25" s="28">
        <v>100</v>
      </c>
    </row>
    <row r="26" spans="1:27" x14ac:dyDescent="0.25">
      <c r="A26" s="4"/>
      <c r="B26" s="98" t="s">
        <v>1190</v>
      </c>
      <c r="C26" s="75" t="s">
        <v>1187</v>
      </c>
      <c r="D26" s="28" t="s">
        <v>1142</v>
      </c>
      <c r="E26" s="28">
        <f t="shared" si="24"/>
        <v>92127</v>
      </c>
      <c r="F26" s="143" t="str">
        <f>INDEX(PV_Summary!$B$18:$B$118,MATCH($E26,PV_Summary!$A$18:$A$118,0))</f>
        <v>N</v>
      </c>
      <c r="G26" s="123">
        <v>33.016047</v>
      </c>
      <c r="H26" s="61">
        <v>-117.121375</v>
      </c>
      <c r="I26" s="44" t="s">
        <v>3</v>
      </c>
      <c r="J26" s="46">
        <f t="shared" si="21"/>
        <v>0.75</v>
      </c>
      <c r="K26" s="100"/>
      <c r="L26" s="44" t="str">
        <f t="shared" si="22"/>
        <v/>
      </c>
      <c r="M26" s="46">
        <f t="shared" si="23"/>
        <v>0.75</v>
      </c>
      <c r="N26" s="46"/>
      <c r="O26" s="41">
        <f t="shared" si="4"/>
        <v>0</v>
      </c>
      <c r="P26" s="42">
        <v>104000</v>
      </c>
      <c r="Q26" s="44" t="s">
        <v>3</v>
      </c>
      <c r="R26" s="28" t="s">
        <v>55</v>
      </c>
      <c r="S26" s="48">
        <f t="shared" si="5"/>
        <v>728000</v>
      </c>
      <c r="T26" s="48">
        <f t="shared" si="6"/>
        <v>0</v>
      </c>
      <c r="W26" s="28">
        <v>1104</v>
      </c>
      <c r="X26" s="105">
        <v>0.88</v>
      </c>
      <c r="Y26" s="105">
        <v>5.27</v>
      </c>
      <c r="Z26" s="73" t="s">
        <v>1239</v>
      </c>
      <c r="AA26" s="28">
        <v>200</v>
      </c>
    </row>
    <row r="27" spans="1:27" x14ac:dyDescent="0.25">
      <c r="A27" s="4"/>
      <c r="B27" s="98" t="s">
        <v>1191</v>
      </c>
      <c r="C27" s="75" t="s">
        <v>1187</v>
      </c>
      <c r="D27" s="28" t="s">
        <v>1142</v>
      </c>
      <c r="E27" s="28">
        <f t="shared" si="24"/>
        <v>92127</v>
      </c>
      <c r="F27" s="143" t="str">
        <f>INDEX(PV_Summary!$B$18:$B$118,MATCH($E27,PV_Summary!$A$18:$A$118,0))</f>
        <v>N</v>
      </c>
      <c r="G27" s="123">
        <v>33.015422999999998</v>
      </c>
      <c r="H27" s="61">
        <v>-117.12020800000001</v>
      </c>
      <c r="I27" s="44" t="s">
        <v>3</v>
      </c>
      <c r="J27" s="46">
        <f t="shared" si="21"/>
        <v>0.75</v>
      </c>
      <c r="K27" s="100"/>
      <c r="L27" s="44" t="str">
        <f t="shared" si="22"/>
        <v/>
      </c>
      <c r="M27" s="46">
        <f t="shared" si="23"/>
        <v>0.75</v>
      </c>
      <c r="N27" s="46"/>
      <c r="O27" s="41">
        <f t="shared" si="4"/>
        <v>0</v>
      </c>
      <c r="P27" s="42">
        <v>14000</v>
      </c>
      <c r="Q27" s="44" t="s">
        <v>3</v>
      </c>
      <c r="R27" s="28" t="s">
        <v>55</v>
      </c>
      <c r="S27" s="48">
        <f t="shared" si="5"/>
        <v>98000</v>
      </c>
      <c r="T27" s="48">
        <f t="shared" si="6"/>
        <v>0</v>
      </c>
      <c r="W27" s="28">
        <v>1100</v>
      </c>
      <c r="X27" s="105">
        <v>1.23</v>
      </c>
      <c r="Y27" s="105">
        <v>8.18</v>
      </c>
      <c r="Z27" s="73" t="s">
        <v>1239</v>
      </c>
      <c r="AA27" s="28">
        <v>100</v>
      </c>
    </row>
    <row r="28" spans="1:27" x14ac:dyDescent="0.25">
      <c r="A28" s="4"/>
      <c r="B28" s="62" t="s">
        <v>1149</v>
      </c>
      <c r="C28" s="75" t="s">
        <v>1150</v>
      </c>
      <c r="D28" s="28" t="s">
        <v>1142</v>
      </c>
      <c r="E28" s="28">
        <f t="shared" si="16"/>
        <v>92127</v>
      </c>
      <c r="F28" s="143" t="str">
        <f>INDEX(PV_Summary!$B$18:$B$118,MATCH($E28,PV_Summary!$A$18:$A$118,0))</f>
        <v>N</v>
      </c>
      <c r="G28" s="123">
        <v>33.013503</v>
      </c>
      <c r="H28" s="61">
        <v>-117.091024</v>
      </c>
      <c r="I28" s="44" t="s">
        <v>3</v>
      </c>
      <c r="J28" s="46">
        <f t="shared" ca="1" si="21"/>
        <v>1</v>
      </c>
      <c r="K28" s="100"/>
      <c r="L28" s="44" t="str">
        <f t="shared" ca="1" si="22"/>
        <v/>
      </c>
      <c r="M28" s="46">
        <f t="shared" ca="1" si="23"/>
        <v>1</v>
      </c>
      <c r="N28" s="46"/>
      <c r="O28" s="41">
        <f t="shared" ca="1" si="4"/>
        <v>1</v>
      </c>
      <c r="P28" s="42">
        <v>255000</v>
      </c>
      <c r="Q28" s="44" t="s">
        <v>3</v>
      </c>
      <c r="R28" s="28" t="s">
        <v>55</v>
      </c>
      <c r="S28" s="48">
        <f t="shared" si="5"/>
        <v>1785000</v>
      </c>
      <c r="T28" s="48">
        <f t="shared" ca="1" si="6"/>
        <v>1785000</v>
      </c>
      <c r="W28" s="28">
        <v>292</v>
      </c>
      <c r="X28" s="105">
        <v>1.27</v>
      </c>
      <c r="Y28" s="105">
        <v>8.4700000000000006</v>
      </c>
      <c r="Z28" s="73" t="s">
        <v>1251</v>
      </c>
      <c r="AA28" s="28">
        <v>0</v>
      </c>
    </row>
    <row r="29" spans="1:27" x14ac:dyDescent="0.25">
      <c r="A29" s="4"/>
      <c r="B29" s="62" t="s">
        <v>1151</v>
      </c>
      <c r="C29" s="75" t="s">
        <v>1152</v>
      </c>
      <c r="D29" s="28" t="s">
        <v>1142</v>
      </c>
      <c r="E29" s="28">
        <f t="shared" ref="E29:E35" si="25">RIGHT(TRIM(D29),5)*1</f>
        <v>92127</v>
      </c>
      <c r="F29" s="143" t="str">
        <f>INDEX(PV_Summary!$B$18:$B$118,MATCH($E29,PV_Summary!$A$18:$A$118,0))</f>
        <v>N</v>
      </c>
      <c r="G29" s="123">
        <v>33.011339999999997</v>
      </c>
      <c r="H29" s="61">
        <v>-117.087931</v>
      </c>
      <c r="I29" s="44" t="s">
        <v>69</v>
      </c>
      <c r="J29" s="46">
        <f t="shared" ca="1" si="13"/>
        <v>1.5</v>
      </c>
      <c r="K29" s="100"/>
      <c r="L29" s="44" t="str">
        <f t="shared" ca="1" si="14"/>
        <v>Total</v>
      </c>
      <c r="M29" s="46">
        <f t="shared" ca="1" si="15"/>
        <v>1.25</v>
      </c>
      <c r="N29" s="46"/>
      <c r="O29" s="41">
        <f t="shared" ca="1" si="4"/>
        <v>7</v>
      </c>
      <c r="Q29" s="44"/>
      <c r="S29" s="48">
        <f t="shared" si="5"/>
        <v>0</v>
      </c>
      <c r="T29" s="48">
        <f t="shared" ca="1" si="6"/>
        <v>3234000</v>
      </c>
      <c r="W29" s="28">
        <v>543</v>
      </c>
      <c r="X29" s="105">
        <v>1.49</v>
      </c>
      <c r="Y29" s="105">
        <v>9.9</v>
      </c>
      <c r="Z29" s="73" t="s">
        <v>1251</v>
      </c>
      <c r="AA29" s="28"/>
    </row>
    <row r="30" spans="1:27" x14ac:dyDescent="0.25">
      <c r="A30" s="4"/>
      <c r="B30" s="98" t="s">
        <v>1153</v>
      </c>
      <c r="C30" s="75" t="s">
        <v>1152</v>
      </c>
      <c r="D30" s="28" t="s">
        <v>1142</v>
      </c>
      <c r="E30" s="28">
        <f t="shared" si="25"/>
        <v>92127</v>
      </c>
      <c r="F30" s="143" t="str">
        <f>INDEX(PV_Summary!$B$18:$B$118,MATCH($E30,PV_Summary!$A$18:$A$118,0))</f>
        <v>N</v>
      </c>
      <c r="G30" s="123">
        <v>33.011015</v>
      </c>
      <c r="H30" s="61">
        <v>-117.089725</v>
      </c>
      <c r="I30" s="44" t="s">
        <v>210</v>
      </c>
      <c r="J30" s="46">
        <f t="shared" si="13"/>
        <v>0.75</v>
      </c>
      <c r="K30" s="100" t="s">
        <v>157</v>
      </c>
      <c r="L30" s="44" t="str">
        <f t="shared" si="14"/>
        <v/>
      </c>
      <c r="M30" s="46">
        <f t="shared" si="15"/>
        <v>0.75</v>
      </c>
      <c r="N30" s="46"/>
      <c r="O30" s="41">
        <f t="shared" si="4"/>
        <v>0</v>
      </c>
      <c r="Q30" s="44" t="s">
        <v>172</v>
      </c>
      <c r="S30" s="48">
        <f t="shared" si="5"/>
        <v>0</v>
      </c>
      <c r="T30" s="48">
        <f t="shared" si="6"/>
        <v>0</v>
      </c>
      <c r="W30" s="28">
        <v>540</v>
      </c>
      <c r="X30" s="105">
        <v>1.44</v>
      </c>
      <c r="Y30" s="105">
        <v>9.6</v>
      </c>
      <c r="Z30" s="73" t="s">
        <v>1251</v>
      </c>
      <c r="AA30" s="28">
        <v>400</v>
      </c>
    </row>
    <row r="31" spans="1:27" x14ac:dyDescent="0.25">
      <c r="A31" s="4"/>
      <c r="B31" s="98" t="s">
        <v>1154</v>
      </c>
      <c r="C31" s="75" t="s">
        <v>1152</v>
      </c>
      <c r="D31" s="28" t="s">
        <v>1142</v>
      </c>
      <c r="E31" s="28">
        <f t="shared" si="25"/>
        <v>92127</v>
      </c>
      <c r="F31" s="143" t="str">
        <f>INDEX(PV_Summary!$B$18:$B$118,MATCH($E31,PV_Summary!$A$18:$A$118,0))</f>
        <v>N</v>
      </c>
      <c r="G31" s="123">
        <v>33.012452000000003</v>
      </c>
      <c r="H31" s="61">
        <v>-117.088685</v>
      </c>
      <c r="I31" s="44" t="s">
        <v>3</v>
      </c>
      <c r="J31" s="46">
        <f t="shared" si="13"/>
        <v>0.75</v>
      </c>
      <c r="K31" s="100"/>
      <c r="L31" s="44" t="str">
        <f t="shared" si="14"/>
        <v/>
      </c>
      <c r="M31" s="46">
        <f t="shared" si="15"/>
        <v>0.75</v>
      </c>
      <c r="N31" s="46"/>
      <c r="O31" s="41">
        <f t="shared" si="4"/>
        <v>0</v>
      </c>
      <c r="P31" s="42">
        <v>67000</v>
      </c>
      <c r="Q31" s="44" t="s">
        <v>3</v>
      </c>
      <c r="R31" s="28" t="s">
        <v>55</v>
      </c>
      <c r="S31" s="48">
        <f t="shared" si="5"/>
        <v>469000</v>
      </c>
      <c r="T31" s="48">
        <f t="shared" si="6"/>
        <v>0</v>
      </c>
      <c r="W31" s="28">
        <v>543</v>
      </c>
      <c r="X31" s="105">
        <v>1.49</v>
      </c>
      <c r="Y31" s="105">
        <v>9.9</v>
      </c>
      <c r="Z31" s="73" t="s">
        <v>1251</v>
      </c>
      <c r="AA31" s="28">
        <v>100</v>
      </c>
    </row>
    <row r="32" spans="1:27" x14ac:dyDescent="0.25">
      <c r="A32" s="4"/>
      <c r="B32" s="98" t="s">
        <v>1155</v>
      </c>
      <c r="C32" s="75" t="s">
        <v>1152</v>
      </c>
      <c r="D32" s="28" t="s">
        <v>1142</v>
      </c>
      <c r="E32" s="28">
        <f t="shared" si="25"/>
        <v>92127</v>
      </c>
      <c r="F32" s="143" t="str">
        <f>INDEX(PV_Summary!$B$18:$B$118,MATCH($E32,PV_Summary!$A$18:$A$118,0))</f>
        <v>N</v>
      </c>
      <c r="G32" s="123">
        <v>33.012146999999999</v>
      </c>
      <c r="H32" s="61">
        <v>-117.090131</v>
      </c>
      <c r="I32" s="44" t="s">
        <v>3</v>
      </c>
      <c r="J32" s="46">
        <f t="shared" si="13"/>
        <v>0.75</v>
      </c>
      <c r="K32" s="100"/>
      <c r="L32" s="44" t="str">
        <f t="shared" si="14"/>
        <v/>
      </c>
      <c r="M32" s="46">
        <f t="shared" si="15"/>
        <v>0.75</v>
      </c>
      <c r="N32" s="46"/>
      <c r="O32" s="41">
        <f t="shared" si="4"/>
        <v>0</v>
      </c>
      <c r="P32" s="42">
        <v>83000</v>
      </c>
      <c r="Q32" s="44" t="s">
        <v>3</v>
      </c>
      <c r="R32" s="28" t="s">
        <v>55</v>
      </c>
      <c r="S32" s="48">
        <f t="shared" si="5"/>
        <v>581000</v>
      </c>
      <c r="T32" s="48">
        <f t="shared" si="6"/>
        <v>0</v>
      </c>
      <c r="W32" s="28">
        <v>543</v>
      </c>
      <c r="X32" s="105">
        <v>1.49</v>
      </c>
      <c r="Y32" s="105">
        <v>9.9</v>
      </c>
      <c r="Z32" s="73" t="s">
        <v>1251</v>
      </c>
      <c r="AA32" s="28">
        <v>100</v>
      </c>
    </row>
    <row r="33" spans="1:27" x14ac:dyDescent="0.25">
      <c r="A33" s="4"/>
      <c r="B33" s="98" t="s">
        <v>1156</v>
      </c>
      <c r="C33" s="75" t="s">
        <v>1152</v>
      </c>
      <c r="D33" s="28" t="s">
        <v>1142</v>
      </c>
      <c r="E33" s="28">
        <f t="shared" si="25"/>
        <v>92127</v>
      </c>
      <c r="F33" s="143" t="str">
        <f>INDEX(PV_Summary!$B$18:$B$118,MATCH($E33,PV_Summary!$A$18:$A$118,0))</f>
        <v>N</v>
      </c>
      <c r="G33" s="123">
        <v>33.010756000000001</v>
      </c>
      <c r="H33" s="61">
        <v>-117.09079699999999</v>
      </c>
      <c r="I33" s="44" t="s">
        <v>3</v>
      </c>
      <c r="J33" s="46">
        <f t="shared" si="13"/>
        <v>0.75</v>
      </c>
      <c r="K33" s="100"/>
      <c r="L33" s="44" t="str">
        <f t="shared" si="14"/>
        <v/>
      </c>
      <c r="M33" s="46">
        <f t="shared" si="15"/>
        <v>0.75</v>
      </c>
      <c r="N33" s="46"/>
      <c r="O33" s="41">
        <f t="shared" si="4"/>
        <v>0</v>
      </c>
      <c r="P33" s="42">
        <v>48000</v>
      </c>
      <c r="Q33" s="44" t="s">
        <v>3</v>
      </c>
      <c r="R33" s="28" t="s">
        <v>55</v>
      </c>
      <c r="S33" s="48">
        <f t="shared" si="5"/>
        <v>336000</v>
      </c>
      <c r="T33" s="48">
        <f t="shared" si="6"/>
        <v>0</v>
      </c>
      <c r="W33" s="28">
        <v>543</v>
      </c>
      <c r="X33" s="105">
        <v>1.49</v>
      </c>
      <c r="Y33" s="105">
        <v>9.9</v>
      </c>
      <c r="Z33" s="73" t="s">
        <v>1251</v>
      </c>
      <c r="AA33" s="28">
        <v>150</v>
      </c>
    </row>
    <row r="34" spans="1:27" x14ac:dyDescent="0.25">
      <c r="A34" s="4"/>
      <c r="B34" s="98" t="s">
        <v>1157</v>
      </c>
      <c r="C34" s="75" t="s">
        <v>1152</v>
      </c>
      <c r="D34" s="28" t="s">
        <v>1142</v>
      </c>
      <c r="E34" s="28">
        <f t="shared" si="25"/>
        <v>92127</v>
      </c>
      <c r="F34" s="143" t="str">
        <f>INDEX(PV_Summary!$B$18:$B$118,MATCH($E34,PV_Summary!$A$18:$A$118,0))</f>
        <v>N</v>
      </c>
      <c r="G34" s="123">
        <v>33.009923999999998</v>
      </c>
      <c r="H34" s="61">
        <v>-117.090064</v>
      </c>
      <c r="I34" s="44" t="s">
        <v>3</v>
      </c>
      <c r="J34" s="46">
        <f t="shared" si="13"/>
        <v>0.75</v>
      </c>
      <c r="K34" s="100"/>
      <c r="L34" s="44" t="str">
        <f t="shared" si="14"/>
        <v/>
      </c>
      <c r="M34" s="46">
        <f t="shared" si="15"/>
        <v>0.75</v>
      </c>
      <c r="N34" s="46"/>
      <c r="O34" s="41">
        <f t="shared" si="4"/>
        <v>0</v>
      </c>
      <c r="P34" s="42">
        <v>150000</v>
      </c>
      <c r="Q34" s="44" t="s">
        <v>3</v>
      </c>
      <c r="R34" s="28" t="s">
        <v>55</v>
      </c>
      <c r="S34" s="48">
        <f t="shared" si="5"/>
        <v>1050000</v>
      </c>
      <c r="T34" s="48">
        <f t="shared" si="6"/>
        <v>0</v>
      </c>
      <c r="W34" s="28">
        <v>543</v>
      </c>
      <c r="X34" s="105">
        <v>1.49</v>
      </c>
      <c r="Y34" s="105">
        <v>9.9</v>
      </c>
      <c r="Z34" s="73" t="s">
        <v>1251</v>
      </c>
      <c r="AA34" s="28">
        <v>200</v>
      </c>
    </row>
    <row r="35" spans="1:27" x14ac:dyDescent="0.25">
      <c r="A35" s="4"/>
      <c r="B35" s="98" t="s">
        <v>1158</v>
      </c>
      <c r="C35" s="75" t="s">
        <v>1152</v>
      </c>
      <c r="D35" s="28" t="s">
        <v>1142</v>
      </c>
      <c r="E35" s="28">
        <f t="shared" si="25"/>
        <v>92127</v>
      </c>
      <c r="F35" s="143" t="str">
        <f>INDEX(PV_Summary!$B$18:$B$118,MATCH($E35,PV_Summary!$A$18:$A$118,0))</f>
        <v>N</v>
      </c>
      <c r="G35" s="123">
        <v>33.009422000000001</v>
      </c>
      <c r="H35" s="61">
        <v>-117.08894600000001</v>
      </c>
      <c r="I35" s="44" t="s">
        <v>3</v>
      </c>
      <c r="J35" s="46">
        <f t="shared" si="13"/>
        <v>0.75</v>
      </c>
      <c r="K35" s="100"/>
      <c r="L35" s="44" t="str">
        <f t="shared" si="14"/>
        <v/>
      </c>
      <c r="M35" s="46">
        <f t="shared" si="15"/>
        <v>0.75</v>
      </c>
      <c r="N35" s="46"/>
      <c r="O35" s="41">
        <f t="shared" si="4"/>
        <v>0</v>
      </c>
      <c r="P35" s="42">
        <v>114000</v>
      </c>
      <c r="Q35" s="44" t="s">
        <v>3</v>
      </c>
      <c r="R35" s="28" t="s">
        <v>55</v>
      </c>
      <c r="S35" s="48">
        <f t="shared" si="5"/>
        <v>798000</v>
      </c>
      <c r="T35" s="48">
        <f t="shared" si="6"/>
        <v>0</v>
      </c>
      <c r="W35" s="28">
        <v>543</v>
      </c>
      <c r="X35" s="105">
        <v>1.49</v>
      </c>
      <c r="Y35" s="105">
        <v>9.9</v>
      </c>
      <c r="Z35" s="73" t="s">
        <v>1251</v>
      </c>
      <c r="AA35" s="28">
        <v>300</v>
      </c>
    </row>
    <row r="36" spans="1:27" x14ac:dyDescent="0.25">
      <c r="A36" s="4"/>
      <c r="B36" s="62" t="s">
        <v>1159</v>
      </c>
      <c r="C36" s="75" t="s">
        <v>1160</v>
      </c>
      <c r="D36" s="28" t="s">
        <v>1142</v>
      </c>
      <c r="E36" s="28">
        <f t="shared" ref="E36:E38" si="26">RIGHT(TRIM(D36),5)*1</f>
        <v>92127</v>
      </c>
      <c r="F36" s="143" t="str">
        <f>INDEX(PV_Summary!$B$18:$B$118,MATCH($E36,PV_Summary!$A$18:$A$118,0))</f>
        <v>N</v>
      </c>
      <c r="G36" s="123">
        <v>33.016530000000003</v>
      </c>
      <c r="H36" s="61">
        <v>-117.106022</v>
      </c>
      <c r="I36" s="44" t="s">
        <v>37</v>
      </c>
      <c r="J36" s="46">
        <f t="shared" ca="1" si="13"/>
        <v>1</v>
      </c>
      <c r="K36" s="100"/>
      <c r="L36" s="44" t="str">
        <f t="shared" ca="1" si="14"/>
        <v/>
      </c>
      <c r="M36" s="46">
        <f t="shared" ca="1" si="15"/>
        <v>1</v>
      </c>
      <c r="N36" s="46"/>
      <c r="O36" s="41">
        <f t="shared" ca="1" si="4"/>
        <v>1</v>
      </c>
      <c r="P36" s="42">
        <v>382000</v>
      </c>
      <c r="Q36" s="44" t="s">
        <v>37</v>
      </c>
      <c r="R36" s="28" t="s">
        <v>56</v>
      </c>
      <c r="S36" s="48">
        <f t="shared" si="5"/>
        <v>2292000</v>
      </c>
      <c r="T36" s="48">
        <f t="shared" ca="1" si="6"/>
        <v>2292000</v>
      </c>
      <c r="U36" s="28" t="s">
        <v>1111</v>
      </c>
      <c r="W36" s="28">
        <v>577</v>
      </c>
      <c r="X36" s="105">
        <v>1.48</v>
      </c>
      <c r="Y36" s="105">
        <v>9.9</v>
      </c>
      <c r="Z36" s="73" t="s">
        <v>1251</v>
      </c>
      <c r="AA36" s="28">
        <v>0</v>
      </c>
    </row>
    <row r="37" spans="1:27" x14ac:dyDescent="0.25">
      <c r="A37" s="4"/>
      <c r="B37" s="62" t="s">
        <v>1161</v>
      </c>
      <c r="C37" s="75" t="s">
        <v>1162</v>
      </c>
      <c r="D37" s="28" t="s">
        <v>1142</v>
      </c>
      <c r="E37" s="28">
        <f t="shared" ref="E37" si="27">RIGHT(TRIM(D37),5)*1</f>
        <v>92127</v>
      </c>
      <c r="F37" s="143" t="str">
        <f>INDEX(PV_Summary!$B$18:$B$118,MATCH($E37,PV_Summary!$A$18:$A$118,0))</f>
        <v>N</v>
      </c>
      <c r="G37" s="123">
        <v>33.017825000000002</v>
      </c>
      <c r="H37" s="61">
        <v>-117.091482</v>
      </c>
      <c r="I37" s="44" t="s">
        <v>218</v>
      </c>
      <c r="J37" s="46">
        <f t="shared" ca="1" si="13"/>
        <v>1.5</v>
      </c>
      <c r="K37" s="100"/>
      <c r="L37" s="44" t="str">
        <f t="shared" ca="1" si="14"/>
        <v>Total</v>
      </c>
      <c r="M37" s="46">
        <f t="shared" ca="1" si="15"/>
        <v>1.25</v>
      </c>
      <c r="N37" s="46"/>
      <c r="O37" s="41">
        <f t="shared" ca="1" si="4"/>
        <v>3</v>
      </c>
      <c r="Q37" s="44"/>
      <c r="S37" s="48">
        <f t="shared" si="5"/>
        <v>0</v>
      </c>
      <c r="T37" s="48">
        <f t="shared" ca="1" si="6"/>
        <v>1319000</v>
      </c>
      <c r="W37" s="28">
        <v>537</v>
      </c>
      <c r="X37" s="105">
        <v>1.46</v>
      </c>
      <c r="Y37" s="105">
        <v>9.75</v>
      </c>
      <c r="Z37" s="73" t="s">
        <v>1251</v>
      </c>
      <c r="AA37" s="28"/>
    </row>
    <row r="38" spans="1:27" x14ac:dyDescent="0.25">
      <c r="A38" s="4"/>
      <c r="B38" s="98" t="s">
        <v>1164</v>
      </c>
      <c r="C38" s="75" t="s">
        <v>1162</v>
      </c>
      <c r="D38" s="28" t="s">
        <v>1142</v>
      </c>
      <c r="E38" s="28">
        <f t="shared" si="26"/>
        <v>92127</v>
      </c>
      <c r="F38" s="143" t="str">
        <f>INDEX(PV_Summary!$B$18:$B$118,MATCH($E38,PV_Summary!$A$18:$A$118,0))</f>
        <v>N</v>
      </c>
      <c r="G38" s="123">
        <v>33.016975000000002</v>
      </c>
      <c r="H38" s="61">
        <v>-117.090836</v>
      </c>
      <c r="I38" s="44" t="s">
        <v>37</v>
      </c>
      <c r="J38" s="46">
        <f t="shared" si="13"/>
        <v>0.75</v>
      </c>
      <c r="K38" s="100"/>
      <c r="L38" s="44" t="str">
        <f t="shared" si="14"/>
        <v/>
      </c>
      <c r="M38" s="46">
        <f t="shared" si="15"/>
        <v>0.75</v>
      </c>
      <c r="N38" s="46"/>
      <c r="O38" s="41">
        <f t="shared" si="4"/>
        <v>0</v>
      </c>
      <c r="P38" s="42">
        <v>163000</v>
      </c>
      <c r="Q38" s="44" t="s">
        <v>37</v>
      </c>
      <c r="R38" s="28" t="s">
        <v>57</v>
      </c>
      <c r="S38" s="48">
        <f t="shared" si="5"/>
        <v>815000</v>
      </c>
      <c r="T38" s="48">
        <f t="shared" si="6"/>
        <v>0</v>
      </c>
      <c r="U38" s="28" t="s">
        <v>1111</v>
      </c>
      <c r="W38" s="28">
        <v>537</v>
      </c>
      <c r="X38" s="105">
        <v>1.46</v>
      </c>
      <c r="Y38" s="105">
        <v>9.75</v>
      </c>
      <c r="Z38" s="73" t="s">
        <v>1251</v>
      </c>
      <c r="AA38" s="28">
        <v>100</v>
      </c>
    </row>
    <row r="39" spans="1:27" x14ac:dyDescent="0.25">
      <c r="A39" s="4"/>
      <c r="B39" s="98" t="s">
        <v>1163</v>
      </c>
      <c r="C39" s="75" t="s">
        <v>1162</v>
      </c>
      <c r="D39" s="28" t="s">
        <v>1142</v>
      </c>
      <c r="E39" s="28">
        <f t="shared" ref="E39:E40" si="28">RIGHT(TRIM(D39),5)*1</f>
        <v>92127</v>
      </c>
      <c r="F39" s="143" t="str">
        <f>INDEX(PV_Summary!$B$18:$B$118,MATCH($E39,PV_Summary!$A$18:$A$118,0))</f>
        <v>N</v>
      </c>
      <c r="G39" s="123">
        <v>33.018386999999997</v>
      </c>
      <c r="H39" s="61">
        <v>-117.091335</v>
      </c>
      <c r="I39" s="44" t="s">
        <v>3</v>
      </c>
      <c r="J39" s="46">
        <f t="shared" si="13"/>
        <v>0.75</v>
      </c>
      <c r="K39" s="100"/>
      <c r="L39" s="44" t="str">
        <f t="shared" si="14"/>
        <v/>
      </c>
      <c r="M39" s="46">
        <f t="shared" si="15"/>
        <v>0.75</v>
      </c>
      <c r="N39" s="46"/>
      <c r="O39" s="41">
        <f t="shared" si="4"/>
        <v>0</v>
      </c>
      <c r="P39" s="42">
        <v>72000</v>
      </c>
      <c r="Q39" s="44" t="s">
        <v>3</v>
      </c>
      <c r="R39" s="28" t="s">
        <v>55</v>
      </c>
      <c r="S39" s="48">
        <f t="shared" si="5"/>
        <v>504000</v>
      </c>
      <c r="T39" s="48">
        <f t="shared" si="6"/>
        <v>0</v>
      </c>
      <c r="W39" s="28">
        <v>537</v>
      </c>
      <c r="X39" s="105">
        <v>1.46</v>
      </c>
      <c r="Y39" s="105">
        <v>9.75</v>
      </c>
      <c r="Z39" s="73" t="s">
        <v>1251</v>
      </c>
      <c r="AA39" s="28">
        <v>0</v>
      </c>
    </row>
    <row r="40" spans="1:27" x14ac:dyDescent="0.25">
      <c r="A40" s="4"/>
      <c r="B40" s="62" t="s">
        <v>1165</v>
      </c>
      <c r="C40" s="75" t="s">
        <v>1166</v>
      </c>
      <c r="D40" s="28" t="s">
        <v>1142</v>
      </c>
      <c r="E40" s="28">
        <f t="shared" si="28"/>
        <v>92127</v>
      </c>
      <c r="F40" s="143" t="str">
        <f>INDEX(PV_Summary!$B$18:$B$118,MATCH($E40,PV_Summary!$A$18:$A$118,0))</f>
        <v>N</v>
      </c>
      <c r="G40" s="123">
        <v>33.016739999999999</v>
      </c>
      <c r="H40" s="61">
        <v>-117.09319499999999</v>
      </c>
      <c r="I40" s="44" t="s">
        <v>69</v>
      </c>
      <c r="J40" s="46">
        <f t="shared" ca="1" si="13"/>
        <v>1.5</v>
      </c>
      <c r="K40" s="100"/>
      <c r="L40" s="44" t="str">
        <f t="shared" ca="1" si="14"/>
        <v>Total</v>
      </c>
      <c r="M40" s="46">
        <f t="shared" ca="1" si="15"/>
        <v>1.25</v>
      </c>
      <c r="N40" s="46"/>
      <c r="O40" s="41">
        <f t="shared" ca="1" si="4"/>
        <v>8</v>
      </c>
      <c r="Q40" s="44"/>
      <c r="S40" s="48">
        <f t="shared" si="5"/>
        <v>0</v>
      </c>
      <c r="T40" s="48">
        <f t="shared" ca="1" si="6"/>
        <v>4244000</v>
      </c>
      <c r="W40" s="28">
        <v>543</v>
      </c>
      <c r="X40" s="105">
        <v>1.49</v>
      </c>
      <c r="Y40" s="105">
        <v>9.9</v>
      </c>
      <c r="Z40" s="73" t="s">
        <v>1251</v>
      </c>
      <c r="AA40" s="28"/>
    </row>
    <row r="41" spans="1:27" x14ac:dyDescent="0.25">
      <c r="A41" s="4"/>
      <c r="B41" s="98" t="s">
        <v>1167</v>
      </c>
      <c r="C41" s="75" t="s">
        <v>1166</v>
      </c>
      <c r="D41" s="28" t="s">
        <v>1142</v>
      </c>
      <c r="E41" s="28">
        <f t="shared" ref="E41:E56" si="29">RIGHT(TRIM(D41),5)*1</f>
        <v>92127</v>
      </c>
      <c r="F41" s="143" t="str">
        <f>INDEX(PV_Summary!$B$18:$B$118,MATCH($E41,PV_Summary!$A$18:$A$118,0))</f>
        <v>N</v>
      </c>
      <c r="G41" s="123">
        <v>33.017946000000002</v>
      </c>
      <c r="H41" s="61">
        <v>-117.094948</v>
      </c>
      <c r="I41" s="44" t="s">
        <v>37</v>
      </c>
      <c r="J41" s="46">
        <f t="shared" si="13"/>
        <v>0.75</v>
      </c>
      <c r="K41" s="100"/>
      <c r="L41" s="44" t="str">
        <f t="shared" si="14"/>
        <v/>
      </c>
      <c r="M41" s="46">
        <f t="shared" si="15"/>
        <v>0.75</v>
      </c>
      <c r="N41" s="46"/>
      <c r="O41" s="41">
        <f t="shared" si="4"/>
        <v>0</v>
      </c>
      <c r="P41" s="42">
        <f>114000-25000</f>
        <v>89000</v>
      </c>
      <c r="Q41" s="44" t="s">
        <v>37</v>
      </c>
      <c r="R41" s="28" t="s">
        <v>56</v>
      </c>
      <c r="S41" s="48">
        <f t="shared" si="5"/>
        <v>534000</v>
      </c>
      <c r="T41" s="48">
        <f t="shared" si="6"/>
        <v>0</v>
      </c>
      <c r="U41" s="28" t="s">
        <v>1174</v>
      </c>
      <c r="W41" s="28">
        <v>543</v>
      </c>
      <c r="X41" s="105">
        <v>1.49</v>
      </c>
      <c r="Y41" s="105">
        <v>9.9</v>
      </c>
      <c r="Z41" s="73" t="s">
        <v>1251</v>
      </c>
      <c r="AA41" s="28">
        <v>100</v>
      </c>
    </row>
    <row r="42" spans="1:27" x14ac:dyDescent="0.25">
      <c r="A42" s="4"/>
      <c r="B42" s="98" t="s">
        <v>1168</v>
      </c>
      <c r="C42" s="75" t="s">
        <v>1166</v>
      </c>
      <c r="D42" s="28" t="s">
        <v>1142</v>
      </c>
      <c r="E42" s="28">
        <f t="shared" si="29"/>
        <v>92127</v>
      </c>
      <c r="F42" s="143" t="str">
        <f>INDEX(PV_Summary!$B$18:$B$118,MATCH($E42,PV_Summary!$A$18:$A$118,0))</f>
        <v>N</v>
      </c>
      <c r="G42" s="123">
        <v>33.016945999999997</v>
      </c>
      <c r="H42" s="61">
        <v>-117.09217099999999</v>
      </c>
      <c r="I42" s="44" t="s">
        <v>37</v>
      </c>
      <c r="J42" s="46">
        <f t="shared" si="13"/>
        <v>0.75</v>
      </c>
      <c r="K42" s="100"/>
      <c r="L42" s="44" t="str">
        <f t="shared" si="14"/>
        <v/>
      </c>
      <c r="M42" s="46">
        <f t="shared" si="15"/>
        <v>0.75</v>
      </c>
      <c r="N42" s="46"/>
      <c r="O42" s="41">
        <f t="shared" si="4"/>
        <v>0</v>
      </c>
      <c r="P42" s="42">
        <v>88000</v>
      </c>
      <c r="Q42" s="44" t="s">
        <v>37</v>
      </c>
      <c r="R42" s="28" t="s">
        <v>55</v>
      </c>
      <c r="S42" s="48">
        <f t="shared" si="5"/>
        <v>616000</v>
      </c>
      <c r="T42" s="48">
        <f t="shared" si="6"/>
        <v>0</v>
      </c>
      <c r="U42" s="28" t="s">
        <v>1174</v>
      </c>
      <c r="W42" s="28">
        <v>543</v>
      </c>
      <c r="X42" s="105">
        <v>1.49</v>
      </c>
      <c r="Y42" s="105">
        <v>9.9</v>
      </c>
      <c r="Z42" s="73" t="s">
        <v>1251</v>
      </c>
      <c r="AA42" s="28">
        <v>0</v>
      </c>
    </row>
    <row r="43" spans="1:27" x14ac:dyDescent="0.25">
      <c r="A43" s="4"/>
      <c r="B43" s="98" t="s">
        <v>1169</v>
      </c>
      <c r="C43" s="75" t="s">
        <v>1166</v>
      </c>
      <c r="D43" s="28" t="s">
        <v>1142</v>
      </c>
      <c r="E43" s="28">
        <f t="shared" si="29"/>
        <v>92127</v>
      </c>
      <c r="F43" s="143" t="str">
        <f>INDEX(PV_Summary!$B$18:$B$118,MATCH($E43,PV_Summary!$A$18:$A$118,0))</f>
        <v>N</v>
      </c>
      <c r="G43" s="123">
        <v>33.017482000000001</v>
      </c>
      <c r="H43" s="61">
        <v>-117.093771</v>
      </c>
      <c r="I43" s="44" t="s">
        <v>3</v>
      </c>
      <c r="J43" s="46">
        <f t="shared" si="13"/>
        <v>0.75</v>
      </c>
      <c r="K43" s="100"/>
      <c r="L43" s="44" t="str">
        <f t="shared" si="14"/>
        <v/>
      </c>
      <c r="M43" s="46">
        <f t="shared" si="15"/>
        <v>0.75</v>
      </c>
      <c r="N43" s="46"/>
      <c r="O43" s="41">
        <f t="shared" si="4"/>
        <v>0</v>
      </c>
      <c r="P43" s="42">
        <v>53000</v>
      </c>
      <c r="Q43" s="44" t="s">
        <v>3</v>
      </c>
      <c r="R43" s="28" t="s">
        <v>55</v>
      </c>
      <c r="S43" s="48">
        <f t="shared" si="5"/>
        <v>371000</v>
      </c>
      <c r="T43" s="48">
        <f t="shared" si="6"/>
        <v>0</v>
      </c>
      <c r="W43" s="28">
        <v>543</v>
      </c>
      <c r="X43" s="105">
        <v>1.49</v>
      </c>
      <c r="Y43" s="105">
        <v>9.9</v>
      </c>
      <c r="Z43" s="73" t="s">
        <v>1251</v>
      </c>
      <c r="AA43" s="28">
        <v>100</v>
      </c>
    </row>
    <row r="44" spans="1:27" x14ac:dyDescent="0.25">
      <c r="A44" s="4"/>
      <c r="B44" s="98" t="s">
        <v>1170</v>
      </c>
      <c r="C44" s="75" t="s">
        <v>1166</v>
      </c>
      <c r="D44" s="28" t="s">
        <v>1142</v>
      </c>
      <c r="E44" s="28">
        <f t="shared" si="29"/>
        <v>92127</v>
      </c>
      <c r="F44" s="143" t="str">
        <f>INDEX(PV_Summary!$B$18:$B$118,MATCH($E44,PV_Summary!$A$18:$A$118,0))</f>
        <v>N</v>
      </c>
      <c r="G44" s="123">
        <v>33.019007999999999</v>
      </c>
      <c r="H44" s="61">
        <v>-117.093255</v>
      </c>
      <c r="I44" s="44" t="s">
        <v>3</v>
      </c>
      <c r="J44" s="46">
        <f t="shared" si="13"/>
        <v>0.75</v>
      </c>
      <c r="K44" s="100"/>
      <c r="L44" s="44" t="str">
        <f t="shared" si="14"/>
        <v/>
      </c>
      <c r="M44" s="46">
        <f t="shared" si="15"/>
        <v>0.75</v>
      </c>
      <c r="N44" s="46"/>
      <c r="O44" s="41">
        <f t="shared" si="4"/>
        <v>0</v>
      </c>
      <c r="P44" s="42">
        <v>139000</v>
      </c>
      <c r="Q44" s="44" t="s">
        <v>3</v>
      </c>
      <c r="R44" s="28" t="s">
        <v>55</v>
      </c>
      <c r="S44" s="48">
        <f t="shared" si="5"/>
        <v>973000</v>
      </c>
      <c r="T44" s="48">
        <f t="shared" si="6"/>
        <v>0</v>
      </c>
      <c r="W44" s="28">
        <v>543</v>
      </c>
      <c r="X44" s="105">
        <v>1.49</v>
      </c>
      <c r="Y44" s="105">
        <v>9.9</v>
      </c>
      <c r="Z44" s="73" t="s">
        <v>1251</v>
      </c>
      <c r="AA44" s="28">
        <v>0</v>
      </c>
    </row>
    <row r="45" spans="1:27" x14ac:dyDescent="0.25">
      <c r="A45" s="4"/>
      <c r="B45" s="98" t="s">
        <v>1171</v>
      </c>
      <c r="C45" s="75" t="s">
        <v>1166</v>
      </c>
      <c r="D45" s="28" t="s">
        <v>1142</v>
      </c>
      <c r="E45" s="28">
        <f t="shared" si="29"/>
        <v>92127</v>
      </c>
      <c r="F45" s="143" t="str">
        <f>INDEX(PV_Summary!$B$18:$B$118,MATCH($E45,PV_Summary!$A$18:$A$118,0))</f>
        <v>N</v>
      </c>
      <c r="G45" s="123">
        <v>33.019077000000003</v>
      </c>
      <c r="H45" s="61">
        <v>-117.0917</v>
      </c>
      <c r="I45" s="44" t="s">
        <v>3</v>
      </c>
      <c r="J45" s="46">
        <f t="shared" si="13"/>
        <v>0.75</v>
      </c>
      <c r="K45" s="100"/>
      <c r="L45" s="44" t="str">
        <f t="shared" si="14"/>
        <v/>
      </c>
      <c r="M45" s="46">
        <f t="shared" si="15"/>
        <v>0.75</v>
      </c>
      <c r="N45" s="46"/>
      <c r="O45" s="41">
        <f t="shared" si="4"/>
        <v>0</v>
      </c>
      <c r="P45" s="42">
        <v>104000</v>
      </c>
      <c r="Q45" s="44" t="s">
        <v>3</v>
      </c>
      <c r="R45" s="28" t="s">
        <v>55</v>
      </c>
      <c r="S45" s="48">
        <f t="shared" si="5"/>
        <v>728000</v>
      </c>
      <c r="T45" s="48">
        <f t="shared" si="6"/>
        <v>0</v>
      </c>
      <c r="W45" s="28">
        <v>543</v>
      </c>
      <c r="X45" s="105">
        <v>1.49</v>
      </c>
      <c r="Y45" s="105">
        <v>9.9</v>
      </c>
      <c r="Z45" s="73" t="s">
        <v>1251</v>
      </c>
      <c r="AA45" s="28">
        <v>0</v>
      </c>
    </row>
    <row r="46" spans="1:27" x14ac:dyDescent="0.25">
      <c r="A46" s="4"/>
      <c r="B46" s="98" t="s">
        <v>1172</v>
      </c>
      <c r="C46" s="75" t="s">
        <v>1166</v>
      </c>
      <c r="D46" s="28" t="s">
        <v>1142</v>
      </c>
      <c r="E46" s="28">
        <f t="shared" si="29"/>
        <v>92127</v>
      </c>
      <c r="F46" s="143" t="str">
        <f>INDEX(PV_Summary!$B$18:$B$118,MATCH($E46,PV_Summary!$A$18:$A$118,0))</f>
        <v>N</v>
      </c>
      <c r="G46" s="123">
        <v>33.018082</v>
      </c>
      <c r="H46" s="61">
        <v>-117.093014</v>
      </c>
      <c r="I46" s="44" t="s">
        <v>3</v>
      </c>
      <c r="J46" s="46">
        <f t="shared" si="13"/>
        <v>0.75</v>
      </c>
      <c r="K46" s="100"/>
      <c r="L46" s="44" t="str">
        <f t="shared" si="14"/>
        <v/>
      </c>
      <c r="M46" s="46">
        <f t="shared" si="15"/>
        <v>0.75</v>
      </c>
      <c r="N46" s="46"/>
      <c r="O46" s="41">
        <f t="shared" si="4"/>
        <v>0</v>
      </c>
      <c r="P46" s="42">
        <v>44000</v>
      </c>
      <c r="Q46" s="44" t="s">
        <v>3</v>
      </c>
      <c r="R46" s="28" t="s">
        <v>55</v>
      </c>
      <c r="S46" s="48">
        <f t="shared" si="5"/>
        <v>308000</v>
      </c>
      <c r="T46" s="48">
        <f t="shared" si="6"/>
        <v>0</v>
      </c>
      <c r="W46" s="28">
        <v>543</v>
      </c>
      <c r="X46" s="105">
        <v>1.49</v>
      </c>
      <c r="Y46" s="105">
        <v>9.9</v>
      </c>
      <c r="Z46" s="73" t="s">
        <v>1251</v>
      </c>
      <c r="AA46" s="28">
        <v>0</v>
      </c>
    </row>
    <row r="47" spans="1:27" x14ac:dyDescent="0.25">
      <c r="A47" s="4"/>
      <c r="B47" s="98" t="s">
        <v>1173</v>
      </c>
      <c r="C47" s="75" t="s">
        <v>1166</v>
      </c>
      <c r="D47" s="28" t="s">
        <v>1142</v>
      </c>
      <c r="E47" s="28">
        <f t="shared" si="29"/>
        <v>92127</v>
      </c>
      <c r="F47" s="143" t="str">
        <f>INDEX(PV_Summary!$B$18:$B$118,MATCH($E47,PV_Summary!$A$18:$A$118,0))</f>
        <v>N</v>
      </c>
      <c r="G47" s="123">
        <v>33.015672000000002</v>
      </c>
      <c r="H47" s="61">
        <v>-117.092643</v>
      </c>
      <c r="I47" s="44" t="s">
        <v>3</v>
      </c>
      <c r="J47" s="46">
        <f t="shared" si="13"/>
        <v>0.75</v>
      </c>
      <c r="K47" s="100"/>
      <c r="L47" s="44" t="str">
        <f t="shared" si="14"/>
        <v/>
      </c>
      <c r="M47" s="46">
        <f t="shared" si="15"/>
        <v>0.75</v>
      </c>
      <c r="N47" s="46"/>
      <c r="O47" s="41">
        <f t="shared" si="4"/>
        <v>0</v>
      </c>
      <c r="P47" s="42">
        <v>102000</v>
      </c>
      <c r="Q47" s="44" t="s">
        <v>3</v>
      </c>
      <c r="R47" s="28" t="s">
        <v>55</v>
      </c>
      <c r="S47" s="48">
        <f t="shared" si="5"/>
        <v>714000</v>
      </c>
      <c r="T47" s="48">
        <f t="shared" si="6"/>
        <v>0</v>
      </c>
      <c r="W47" s="28">
        <v>543</v>
      </c>
      <c r="X47" s="105">
        <v>1.49</v>
      </c>
      <c r="Y47" s="105">
        <v>9.9</v>
      </c>
      <c r="Z47" s="73" t="s">
        <v>1251</v>
      </c>
      <c r="AA47" s="28">
        <v>100</v>
      </c>
    </row>
    <row r="48" spans="1:27" x14ac:dyDescent="0.25">
      <c r="A48" s="4"/>
      <c r="B48" s="62" t="s">
        <v>1442</v>
      </c>
      <c r="C48" s="75" t="s">
        <v>1443</v>
      </c>
      <c r="D48" s="28" t="s">
        <v>1142</v>
      </c>
      <c r="E48" s="28">
        <f t="shared" si="29"/>
        <v>92127</v>
      </c>
      <c r="F48" s="143" t="str">
        <f>INDEX(PV_Summary!$B$18:$B$118,MATCH($E48,PV_Summary!$A$18:$A$118,0))</f>
        <v>N</v>
      </c>
      <c r="G48" s="123">
        <v>33.022494000000002</v>
      </c>
      <c r="H48" s="61">
        <v>-117.091536</v>
      </c>
      <c r="I48" s="44" t="s">
        <v>3</v>
      </c>
      <c r="J48" s="46">
        <f t="shared" ref="J48:J54" ca="1" si="30">IF(O48&gt;1,Sym_Scl_Aggr_Parent,IF(O48&lt;1,Sym_Scl_Aggr_Child,Sym_Scl_Normal))</f>
        <v>1.5</v>
      </c>
      <c r="K48" s="100"/>
      <c r="L48" s="44" t="str">
        <f t="shared" ref="L48:L54" ca="1" si="31">IF(O48&gt;1,"Total","")</f>
        <v>Total</v>
      </c>
      <c r="M48" s="46">
        <f t="shared" ref="M48:M54" ca="1" si="32">IF(O48&gt;1,Label_Scl_Aggr_Parent,IF(O48&lt;1,Label_Scl_Aggr_Child,Label_Scl_Normal))</f>
        <v>1.25</v>
      </c>
      <c r="N48" s="46"/>
      <c r="O48" s="41">
        <f t="shared" ca="1" si="4"/>
        <v>7</v>
      </c>
      <c r="Q48" s="44"/>
      <c r="S48" s="48">
        <f t="shared" si="5"/>
        <v>0</v>
      </c>
      <c r="T48" s="48">
        <f t="shared" ca="1" si="6"/>
        <v>2576000</v>
      </c>
      <c r="W48" s="28">
        <v>575</v>
      </c>
      <c r="X48" s="105">
        <v>1.5</v>
      </c>
      <c r="Y48" s="105">
        <v>10</v>
      </c>
      <c r="Z48" s="73" t="s">
        <v>1251</v>
      </c>
      <c r="AA48" s="28"/>
    </row>
    <row r="49" spans="1:27" x14ac:dyDescent="0.25">
      <c r="A49" s="4"/>
      <c r="B49" s="98" t="s">
        <v>1444</v>
      </c>
      <c r="C49" s="75" t="s">
        <v>1443</v>
      </c>
      <c r="D49" s="28" t="s">
        <v>1142</v>
      </c>
      <c r="E49" s="28">
        <f t="shared" ref="E49:E54" si="33">RIGHT(TRIM(D49),5)*1</f>
        <v>92127</v>
      </c>
      <c r="F49" s="143" t="str">
        <f>INDEX(PV_Summary!$B$18:$B$118,MATCH($E49,PV_Summary!$A$18:$A$118,0))</f>
        <v>N</v>
      </c>
      <c r="G49" s="123">
        <v>33.022416999999997</v>
      </c>
      <c r="H49" s="61">
        <v>-117.092444</v>
      </c>
      <c r="I49" s="44" t="s">
        <v>3</v>
      </c>
      <c r="J49" s="46">
        <f t="shared" si="30"/>
        <v>0.75</v>
      </c>
      <c r="K49" s="100"/>
      <c r="L49" s="44" t="str">
        <f t="shared" si="31"/>
        <v/>
      </c>
      <c r="M49" s="46">
        <f t="shared" si="32"/>
        <v>0.75</v>
      </c>
      <c r="N49" s="46"/>
      <c r="O49" s="41">
        <f t="shared" si="4"/>
        <v>0</v>
      </c>
      <c r="P49" s="42">
        <v>37000</v>
      </c>
      <c r="Q49" s="44" t="s">
        <v>37</v>
      </c>
      <c r="R49" s="28" t="s">
        <v>55</v>
      </c>
      <c r="S49" s="48">
        <f t="shared" si="5"/>
        <v>259000</v>
      </c>
      <c r="T49" s="48">
        <f t="shared" si="6"/>
        <v>0</v>
      </c>
      <c r="W49" s="28">
        <v>575</v>
      </c>
      <c r="X49" s="105">
        <v>1.5</v>
      </c>
      <c r="Y49" s="105">
        <v>10</v>
      </c>
      <c r="Z49" s="73" t="s">
        <v>1251</v>
      </c>
      <c r="AA49" s="28">
        <v>0</v>
      </c>
    </row>
    <row r="50" spans="1:27" x14ac:dyDescent="0.25">
      <c r="A50" s="4"/>
      <c r="B50" s="98" t="s">
        <v>1445</v>
      </c>
      <c r="C50" s="75" t="s">
        <v>1443</v>
      </c>
      <c r="D50" s="28" t="s">
        <v>1142</v>
      </c>
      <c r="E50" s="28">
        <f t="shared" si="33"/>
        <v>92127</v>
      </c>
      <c r="F50" s="143" t="str">
        <f>INDEX(PV_Summary!$B$18:$B$118,MATCH($E50,PV_Summary!$A$18:$A$118,0))</f>
        <v>N</v>
      </c>
      <c r="G50" s="123">
        <v>33.021554999999999</v>
      </c>
      <c r="H50" s="61">
        <v>-117.091234</v>
      </c>
      <c r="I50" s="44" t="s">
        <v>3</v>
      </c>
      <c r="J50" s="46">
        <f t="shared" si="30"/>
        <v>0.75</v>
      </c>
      <c r="K50" s="100"/>
      <c r="L50" s="44" t="str">
        <f t="shared" si="31"/>
        <v/>
      </c>
      <c r="M50" s="46">
        <f t="shared" si="32"/>
        <v>0.75</v>
      </c>
      <c r="N50" s="46"/>
      <c r="O50" s="41">
        <f t="shared" si="4"/>
        <v>0</v>
      </c>
      <c r="P50" s="42">
        <v>41000</v>
      </c>
      <c r="Q50" s="44" t="s">
        <v>37</v>
      </c>
      <c r="R50" s="28" t="s">
        <v>55</v>
      </c>
      <c r="S50" s="48">
        <f t="shared" si="5"/>
        <v>287000</v>
      </c>
      <c r="T50" s="48">
        <f t="shared" si="6"/>
        <v>0</v>
      </c>
      <c r="W50" s="28">
        <v>575</v>
      </c>
      <c r="X50" s="105">
        <v>1.5</v>
      </c>
      <c r="Y50" s="105">
        <v>10</v>
      </c>
      <c r="Z50" s="73" t="s">
        <v>1251</v>
      </c>
      <c r="AA50" s="28">
        <v>0</v>
      </c>
    </row>
    <row r="51" spans="1:27" x14ac:dyDescent="0.25">
      <c r="A51" s="4"/>
      <c r="B51" s="98" t="s">
        <v>1446</v>
      </c>
      <c r="C51" s="75" t="s">
        <v>1443</v>
      </c>
      <c r="D51" s="28" t="s">
        <v>1142</v>
      </c>
      <c r="E51" s="28">
        <f t="shared" si="33"/>
        <v>92127</v>
      </c>
      <c r="F51" s="143" t="str">
        <f>INDEX(PV_Summary!$B$18:$B$118,MATCH($E51,PV_Summary!$A$18:$A$118,0))</f>
        <v>N</v>
      </c>
      <c r="G51" s="123">
        <v>33.021372999999997</v>
      </c>
      <c r="H51" s="61">
        <v>-117.09252600000001</v>
      </c>
      <c r="I51" s="44" t="s">
        <v>3</v>
      </c>
      <c r="J51" s="46">
        <f t="shared" si="30"/>
        <v>0.75</v>
      </c>
      <c r="K51" s="100"/>
      <c r="L51" s="44" t="str">
        <f t="shared" si="31"/>
        <v/>
      </c>
      <c r="M51" s="46">
        <f t="shared" si="32"/>
        <v>0.75</v>
      </c>
      <c r="N51" s="46"/>
      <c r="O51" s="41">
        <f t="shared" si="4"/>
        <v>0</v>
      </c>
      <c r="P51" s="42">
        <v>55000</v>
      </c>
      <c r="Q51" s="44" t="s">
        <v>37</v>
      </c>
      <c r="R51" s="28" t="s">
        <v>55</v>
      </c>
      <c r="S51" s="48">
        <f t="shared" si="5"/>
        <v>385000</v>
      </c>
      <c r="T51" s="48">
        <f t="shared" si="6"/>
        <v>0</v>
      </c>
      <c r="W51" s="28">
        <v>575</v>
      </c>
      <c r="X51" s="105">
        <v>1.5</v>
      </c>
      <c r="Y51" s="105">
        <v>10</v>
      </c>
      <c r="Z51" s="73" t="s">
        <v>1251</v>
      </c>
      <c r="AA51" s="28">
        <v>0</v>
      </c>
    </row>
    <row r="52" spans="1:27" x14ac:dyDescent="0.25">
      <c r="A52" s="4"/>
      <c r="B52" s="98" t="s">
        <v>1448</v>
      </c>
      <c r="C52" s="75" t="s">
        <v>1443</v>
      </c>
      <c r="D52" s="28" t="s">
        <v>1142</v>
      </c>
      <c r="E52" s="28">
        <f t="shared" si="33"/>
        <v>92127</v>
      </c>
      <c r="F52" s="143" t="str">
        <f>INDEX(PV_Summary!$B$18:$B$118,MATCH($E52,PV_Summary!$A$18:$A$118,0))</f>
        <v>N</v>
      </c>
      <c r="G52" s="123">
        <v>33.022176999999999</v>
      </c>
      <c r="H52" s="61">
        <v>-117.093778</v>
      </c>
      <c r="I52" s="44" t="s">
        <v>3</v>
      </c>
      <c r="J52" s="46">
        <f t="shared" si="30"/>
        <v>0.75</v>
      </c>
      <c r="K52" s="100"/>
      <c r="L52" s="44" t="str">
        <f t="shared" si="31"/>
        <v/>
      </c>
      <c r="M52" s="46">
        <f t="shared" si="32"/>
        <v>0.75</v>
      </c>
      <c r="N52" s="46"/>
      <c r="O52" s="41">
        <f t="shared" si="4"/>
        <v>0</v>
      </c>
      <c r="P52" s="42">
        <v>89000</v>
      </c>
      <c r="Q52" s="44" t="s">
        <v>3</v>
      </c>
      <c r="R52" s="28" t="s">
        <v>55</v>
      </c>
      <c r="S52" s="48">
        <f t="shared" si="5"/>
        <v>623000</v>
      </c>
      <c r="T52" s="48">
        <f t="shared" si="6"/>
        <v>0</v>
      </c>
      <c r="W52" s="28">
        <v>575</v>
      </c>
      <c r="X52" s="105">
        <v>1.5</v>
      </c>
      <c r="Y52" s="105">
        <v>10</v>
      </c>
      <c r="Z52" s="73" t="s">
        <v>1251</v>
      </c>
      <c r="AA52" s="28">
        <v>0</v>
      </c>
    </row>
    <row r="53" spans="1:27" x14ac:dyDescent="0.25">
      <c r="A53" s="4"/>
      <c r="B53" s="98" t="s">
        <v>1447</v>
      </c>
      <c r="C53" s="75" t="s">
        <v>1443</v>
      </c>
      <c r="D53" s="28" t="s">
        <v>1142</v>
      </c>
      <c r="E53" s="28">
        <f t="shared" si="33"/>
        <v>92127</v>
      </c>
      <c r="F53" s="143" t="str">
        <f>INDEX(PV_Summary!$B$18:$B$118,MATCH($E53,PV_Summary!$A$18:$A$118,0))</f>
        <v>N</v>
      </c>
      <c r="G53" s="123">
        <v>33.020836000000003</v>
      </c>
      <c r="H53" s="61">
        <v>-117.09100599999999</v>
      </c>
      <c r="I53" s="44" t="s">
        <v>3</v>
      </c>
      <c r="J53" s="46">
        <f t="shared" si="30"/>
        <v>0.75</v>
      </c>
      <c r="K53" s="100"/>
      <c r="L53" s="44" t="str">
        <f t="shared" si="31"/>
        <v/>
      </c>
      <c r="M53" s="46">
        <f t="shared" si="32"/>
        <v>0.75</v>
      </c>
      <c r="N53" s="46"/>
      <c r="O53" s="41">
        <f t="shared" si="4"/>
        <v>0</v>
      </c>
      <c r="P53" s="42">
        <v>113000</v>
      </c>
      <c r="Q53" s="44" t="s">
        <v>3</v>
      </c>
      <c r="R53" s="28" t="s">
        <v>55</v>
      </c>
      <c r="S53" s="48">
        <f t="shared" si="5"/>
        <v>791000</v>
      </c>
      <c r="T53" s="48">
        <f t="shared" si="6"/>
        <v>0</v>
      </c>
      <c r="W53" s="28">
        <v>575</v>
      </c>
      <c r="X53" s="105">
        <v>1.5</v>
      </c>
      <c r="Y53" s="105">
        <v>10</v>
      </c>
      <c r="Z53" s="73" t="s">
        <v>1251</v>
      </c>
      <c r="AA53" s="28">
        <v>0</v>
      </c>
    </row>
    <row r="54" spans="1:27" x14ac:dyDescent="0.25">
      <c r="A54" s="4"/>
      <c r="B54" s="98" t="s">
        <v>1449</v>
      </c>
      <c r="C54" s="75" t="s">
        <v>1443</v>
      </c>
      <c r="D54" s="28" t="s">
        <v>1142</v>
      </c>
      <c r="E54" s="28">
        <f t="shared" si="33"/>
        <v>92127</v>
      </c>
      <c r="F54" s="143" t="str">
        <f>INDEX(PV_Summary!$B$18:$B$118,MATCH($E54,PV_Summary!$A$18:$A$118,0))</f>
        <v>N</v>
      </c>
      <c r="G54" s="123">
        <v>33.020783999999999</v>
      </c>
      <c r="H54" s="61">
        <v>-117.092901</v>
      </c>
      <c r="I54" s="44" t="s">
        <v>3</v>
      </c>
      <c r="J54" s="46">
        <f t="shared" si="30"/>
        <v>0.75</v>
      </c>
      <c r="K54" s="100"/>
      <c r="L54" s="44" t="str">
        <f t="shared" si="31"/>
        <v/>
      </c>
      <c r="M54" s="46">
        <f t="shared" si="32"/>
        <v>0.75</v>
      </c>
      <c r="N54" s="46"/>
      <c r="O54" s="41">
        <f t="shared" si="4"/>
        <v>0</v>
      </c>
      <c r="P54" s="42">
        <v>33000</v>
      </c>
      <c r="Q54" s="44" t="s">
        <v>3</v>
      </c>
      <c r="R54" s="28" t="s">
        <v>55</v>
      </c>
      <c r="S54" s="48">
        <f t="shared" si="5"/>
        <v>231000</v>
      </c>
      <c r="T54" s="48">
        <f t="shared" si="6"/>
        <v>0</v>
      </c>
      <c r="W54" s="28">
        <v>575</v>
      </c>
      <c r="X54" s="105">
        <v>1.5</v>
      </c>
      <c r="Y54" s="105">
        <v>10</v>
      </c>
      <c r="Z54" s="73" t="s">
        <v>1251</v>
      </c>
      <c r="AA54" s="28">
        <v>0</v>
      </c>
    </row>
    <row r="55" spans="1:27" x14ac:dyDescent="0.25">
      <c r="A55" s="4"/>
      <c r="B55" s="62" t="s">
        <v>1450</v>
      </c>
      <c r="C55" s="75" t="s">
        <v>1451</v>
      </c>
      <c r="D55" s="28" t="s">
        <v>1142</v>
      </c>
      <c r="E55" s="28">
        <f t="shared" ref="E55" si="34">RIGHT(TRIM(D55),5)*1</f>
        <v>92127</v>
      </c>
      <c r="F55" s="143" t="str">
        <f>INDEX(PV_Summary!$B$18:$B$118,MATCH($E55,PV_Summary!$A$18:$A$118,0))</f>
        <v>N</v>
      </c>
      <c r="G55" s="123">
        <v>33.014744999999998</v>
      </c>
      <c r="H55" s="61">
        <v>-117.08564</v>
      </c>
      <c r="I55" s="44" t="s">
        <v>3</v>
      </c>
      <c r="J55" s="46">
        <f t="shared" ref="J55:J56" ca="1" si="35">IF(O55&gt;1,Sym_Scl_Aggr_Parent,IF(O55&lt;1,Sym_Scl_Aggr_Child,Sym_Scl_Normal))</f>
        <v>1</v>
      </c>
      <c r="K55" s="100"/>
      <c r="L55" s="44" t="str">
        <f t="shared" ref="L55:L56" ca="1" si="36">IF(O55&gt;1,"Total","")</f>
        <v/>
      </c>
      <c r="M55" s="46">
        <f t="shared" ref="M55:M56" ca="1" si="37">IF(O55&gt;1,Label_Scl_Aggr_Parent,IF(O55&lt;1,Label_Scl_Aggr_Child,Label_Scl_Normal))</f>
        <v>1</v>
      </c>
      <c r="N55" s="46"/>
      <c r="O55" s="41">
        <f t="shared" ca="1" si="4"/>
        <v>1</v>
      </c>
      <c r="P55" s="42">
        <v>174000</v>
      </c>
      <c r="Q55" s="44" t="s">
        <v>3</v>
      </c>
      <c r="R55" s="28" t="s">
        <v>55</v>
      </c>
      <c r="S55" s="48">
        <f t="shared" si="5"/>
        <v>1218000</v>
      </c>
      <c r="T55" s="48">
        <f t="shared" ca="1" si="6"/>
        <v>1218000</v>
      </c>
      <c r="W55" s="28">
        <v>537</v>
      </c>
      <c r="X55" s="105">
        <v>1.46</v>
      </c>
      <c r="Y55" s="105">
        <v>9.75</v>
      </c>
      <c r="Z55" s="73" t="s">
        <v>1251</v>
      </c>
      <c r="AA55" s="28">
        <v>0</v>
      </c>
    </row>
    <row r="56" spans="1:27" x14ac:dyDescent="0.25">
      <c r="A56" s="4"/>
      <c r="B56" s="62" t="s">
        <v>1175</v>
      </c>
      <c r="C56" s="75" t="s">
        <v>1176</v>
      </c>
      <c r="D56" s="28" t="s">
        <v>1142</v>
      </c>
      <c r="E56" s="28">
        <f t="shared" si="29"/>
        <v>92127</v>
      </c>
      <c r="F56" s="143" t="str">
        <f>INDEX(PV_Summary!$B$18:$B$118,MATCH($E56,PV_Summary!$A$18:$A$118,0))</f>
        <v>N</v>
      </c>
      <c r="G56" s="123">
        <v>33.020040999999999</v>
      </c>
      <c r="H56" s="61">
        <v>-117.103953</v>
      </c>
      <c r="I56" s="44" t="s">
        <v>3</v>
      </c>
      <c r="J56" s="46">
        <f t="shared" ca="1" si="35"/>
        <v>1.5</v>
      </c>
      <c r="K56" s="100"/>
      <c r="L56" s="44" t="str">
        <f t="shared" ca="1" si="36"/>
        <v>Total</v>
      </c>
      <c r="M56" s="46">
        <f t="shared" ca="1" si="37"/>
        <v>1.25</v>
      </c>
      <c r="N56" s="46"/>
      <c r="O56" s="41">
        <f t="shared" ca="1" si="4"/>
        <v>4</v>
      </c>
      <c r="Q56" s="44"/>
      <c r="S56" s="48">
        <f t="shared" si="5"/>
        <v>0</v>
      </c>
      <c r="T56" s="48">
        <f t="shared" ca="1" si="6"/>
        <v>1568000</v>
      </c>
      <c r="W56" s="28">
        <v>577</v>
      </c>
      <c r="X56" s="105">
        <v>1.48</v>
      </c>
      <c r="Y56" s="105">
        <v>9.9</v>
      </c>
      <c r="Z56" s="73" t="s">
        <v>1251</v>
      </c>
      <c r="AA56" s="28"/>
    </row>
    <row r="57" spans="1:27" x14ac:dyDescent="0.25">
      <c r="A57" s="4"/>
      <c r="B57" s="98" t="s">
        <v>1177</v>
      </c>
      <c r="C57" s="75" t="s">
        <v>1176</v>
      </c>
      <c r="D57" s="28" t="s">
        <v>1142</v>
      </c>
      <c r="E57" s="28">
        <f t="shared" ref="E57:E60" si="38">RIGHT(TRIM(D57),5)*1</f>
        <v>92127</v>
      </c>
      <c r="F57" s="143" t="str">
        <f>INDEX(PV_Summary!$B$18:$B$118,MATCH($E57,PV_Summary!$A$18:$A$118,0))</f>
        <v>N</v>
      </c>
      <c r="G57" s="123">
        <v>33.020609</v>
      </c>
      <c r="H57" s="61">
        <v>-117.10368800000001</v>
      </c>
      <c r="I57" s="44" t="s">
        <v>37</v>
      </c>
      <c r="J57" s="46">
        <f t="shared" si="13"/>
        <v>0.75</v>
      </c>
      <c r="K57" s="100"/>
      <c r="L57" s="44" t="str">
        <f t="shared" si="14"/>
        <v/>
      </c>
      <c r="M57" s="46">
        <f t="shared" si="15"/>
        <v>0.75</v>
      </c>
      <c r="N57" s="46"/>
      <c r="O57" s="41">
        <f t="shared" si="4"/>
        <v>0</v>
      </c>
      <c r="P57" s="42">
        <v>13000</v>
      </c>
      <c r="Q57" s="44" t="s">
        <v>37</v>
      </c>
      <c r="R57" s="28" t="s">
        <v>55</v>
      </c>
      <c r="S57" s="48">
        <f t="shared" si="5"/>
        <v>91000</v>
      </c>
      <c r="T57" s="48">
        <f t="shared" si="6"/>
        <v>0</v>
      </c>
      <c r="W57" s="28">
        <v>577</v>
      </c>
      <c r="X57" s="105">
        <v>1.48</v>
      </c>
      <c r="Y57" s="105">
        <v>9.9</v>
      </c>
      <c r="Z57" s="73" t="s">
        <v>1251</v>
      </c>
      <c r="AA57" s="28">
        <v>0</v>
      </c>
    </row>
    <row r="58" spans="1:27" x14ac:dyDescent="0.25">
      <c r="A58" s="4"/>
      <c r="B58" s="98" t="s">
        <v>1178</v>
      </c>
      <c r="C58" s="75" t="s">
        <v>1176</v>
      </c>
      <c r="D58" s="28" t="s">
        <v>1142</v>
      </c>
      <c r="E58" s="28">
        <f t="shared" si="38"/>
        <v>92127</v>
      </c>
      <c r="F58" s="143" t="str">
        <f>INDEX(PV_Summary!$B$18:$B$118,MATCH($E58,PV_Summary!$A$18:$A$118,0))</f>
        <v>N</v>
      </c>
      <c r="G58" s="123">
        <v>33.019756999999998</v>
      </c>
      <c r="H58" s="61">
        <v>-117.104725</v>
      </c>
      <c r="I58" s="44" t="s">
        <v>3</v>
      </c>
      <c r="J58" s="46">
        <f t="shared" si="13"/>
        <v>0.75</v>
      </c>
      <c r="K58" s="100"/>
      <c r="L58" s="44" t="str">
        <f t="shared" si="14"/>
        <v/>
      </c>
      <c r="M58" s="46">
        <f t="shared" si="15"/>
        <v>0.75</v>
      </c>
      <c r="N58" s="46"/>
      <c r="O58" s="41">
        <f t="shared" si="4"/>
        <v>0</v>
      </c>
      <c r="P58" s="42">
        <v>139000</v>
      </c>
      <c r="Q58" s="44" t="s">
        <v>3</v>
      </c>
      <c r="R58" s="28" t="s">
        <v>55</v>
      </c>
      <c r="S58" s="48">
        <f t="shared" si="5"/>
        <v>973000</v>
      </c>
      <c r="T58" s="48">
        <f t="shared" si="6"/>
        <v>0</v>
      </c>
      <c r="W58" s="28">
        <v>577</v>
      </c>
      <c r="X58" s="105">
        <v>1.48</v>
      </c>
      <c r="Y58" s="105">
        <v>9.9</v>
      </c>
      <c r="Z58" s="73" t="s">
        <v>1251</v>
      </c>
      <c r="AA58" s="28">
        <v>50</v>
      </c>
    </row>
    <row r="59" spans="1:27" x14ac:dyDescent="0.25">
      <c r="A59" s="4"/>
      <c r="B59" s="98" t="s">
        <v>1179</v>
      </c>
      <c r="C59" s="75" t="s">
        <v>1176</v>
      </c>
      <c r="D59" s="28" t="s">
        <v>1142</v>
      </c>
      <c r="E59" s="28">
        <f t="shared" si="38"/>
        <v>92127</v>
      </c>
      <c r="F59" s="143" t="str">
        <f>INDEX(PV_Summary!$B$18:$B$118,MATCH($E59,PV_Summary!$A$18:$A$118,0))</f>
        <v>N</v>
      </c>
      <c r="G59" s="123">
        <v>33.019955000000003</v>
      </c>
      <c r="H59" s="61">
        <v>-117.10276500000001</v>
      </c>
      <c r="I59" s="44" t="s">
        <v>3</v>
      </c>
      <c r="J59" s="46">
        <f t="shared" si="13"/>
        <v>0.75</v>
      </c>
      <c r="K59" s="100"/>
      <c r="L59" s="44" t="str">
        <f t="shared" si="14"/>
        <v/>
      </c>
      <c r="M59" s="46">
        <f t="shared" si="15"/>
        <v>0.75</v>
      </c>
      <c r="N59" s="46"/>
      <c r="O59" s="41">
        <f t="shared" si="4"/>
        <v>0</v>
      </c>
      <c r="P59" s="42">
        <v>72000</v>
      </c>
      <c r="Q59" s="44" t="s">
        <v>3</v>
      </c>
      <c r="R59" s="28" t="s">
        <v>55</v>
      </c>
      <c r="S59" s="48">
        <f t="shared" si="5"/>
        <v>504000</v>
      </c>
      <c r="T59" s="48">
        <f t="shared" si="6"/>
        <v>0</v>
      </c>
      <c r="W59" s="28">
        <v>577</v>
      </c>
      <c r="X59" s="105">
        <v>1.48</v>
      </c>
      <c r="Y59" s="105">
        <v>9.9</v>
      </c>
      <c r="Z59" s="73" t="s">
        <v>1251</v>
      </c>
      <c r="AA59" s="28">
        <v>100</v>
      </c>
    </row>
    <row r="60" spans="1:27" x14ac:dyDescent="0.25">
      <c r="A60" s="4"/>
      <c r="B60" s="62" t="s">
        <v>1192</v>
      </c>
      <c r="C60" s="75" t="s">
        <v>1193</v>
      </c>
      <c r="D60" s="28" t="s">
        <v>1194</v>
      </c>
      <c r="E60" s="28">
        <f t="shared" si="38"/>
        <v>92128</v>
      </c>
      <c r="F60" s="143" t="str">
        <f>INDEX(PV_Summary!$B$18:$B$118,MATCH($E60,PV_Summary!$A$18:$A$118,0))</f>
        <v>N</v>
      </c>
      <c r="G60" s="123">
        <v>32.987074</v>
      </c>
      <c r="H60" s="61">
        <v>-117.077112</v>
      </c>
      <c r="I60" s="44" t="s">
        <v>62</v>
      </c>
      <c r="J60" s="46">
        <f t="shared" ref="J60:J65" ca="1" si="39">IF(O60&gt;1,Sym_Scl_Aggr_Parent,IF(O60&lt;1,Sym_Scl_Aggr_Child,Sym_Scl_Normal))</f>
        <v>1.5</v>
      </c>
      <c r="K60" s="100"/>
      <c r="L60" s="44" t="str">
        <f t="shared" ref="L60:L65" ca="1" si="40">IF(O60&gt;1,"Total","")</f>
        <v>Total</v>
      </c>
      <c r="M60" s="46">
        <f t="shared" ref="M60:M65" ca="1" si="41">IF(O60&gt;1,Label_Scl_Aggr_Parent,IF(O60&lt;1,Label_Scl_Aggr_Child,Label_Scl_Normal))</f>
        <v>1.25</v>
      </c>
      <c r="N60" s="46"/>
      <c r="O60" s="41">
        <f t="shared" ca="1" si="4"/>
        <v>6</v>
      </c>
      <c r="Q60" s="44"/>
      <c r="S60" s="48">
        <f t="shared" si="5"/>
        <v>0</v>
      </c>
      <c r="T60" s="48">
        <f t="shared" ca="1" si="6"/>
        <v>2722000</v>
      </c>
      <c r="U60" s="28" t="s">
        <v>1314</v>
      </c>
      <c r="W60" s="28">
        <v>934</v>
      </c>
      <c r="X60" s="105">
        <v>1.49</v>
      </c>
      <c r="Y60" s="105">
        <v>9.91</v>
      </c>
      <c r="Z60" s="73" t="s">
        <v>1254</v>
      </c>
      <c r="AA60" s="28"/>
    </row>
    <row r="61" spans="1:27" x14ac:dyDescent="0.25">
      <c r="A61" s="4"/>
      <c r="B61" s="98" t="s">
        <v>1195</v>
      </c>
      <c r="C61" s="75" t="s">
        <v>1193</v>
      </c>
      <c r="D61" s="28" t="s">
        <v>1194</v>
      </c>
      <c r="E61" s="28">
        <f t="shared" ref="E61:E88" si="42">RIGHT(TRIM(D61),5)*1</f>
        <v>92128</v>
      </c>
      <c r="F61" s="143" t="str">
        <f>INDEX(PV_Summary!$B$18:$B$118,MATCH($E61,PV_Summary!$A$18:$A$118,0))</f>
        <v>N</v>
      </c>
      <c r="G61" s="123">
        <v>32.987561999999997</v>
      </c>
      <c r="H61" s="61">
        <v>-117.078188</v>
      </c>
      <c r="I61" s="44" t="s">
        <v>37</v>
      </c>
      <c r="J61" s="46">
        <f t="shared" si="39"/>
        <v>0.75</v>
      </c>
      <c r="K61" s="100"/>
      <c r="L61" s="44" t="str">
        <f t="shared" si="40"/>
        <v/>
      </c>
      <c r="M61" s="46">
        <f t="shared" si="41"/>
        <v>0.75</v>
      </c>
      <c r="N61" s="46"/>
      <c r="O61" s="41">
        <f t="shared" si="4"/>
        <v>0</v>
      </c>
      <c r="P61" s="42">
        <v>130000</v>
      </c>
      <c r="Q61" s="44" t="s">
        <v>37</v>
      </c>
      <c r="R61" s="28" t="s">
        <v>57</v>
      </c>
      <c r="S61" s="48">
        <f t="shared" si="5"/>
        <v>650000</v>
      </c>
      <c r="T61" s="48">
        <f t="shared" si="6"/>
        <v>0</v>
      </c>
      <c r="U61" s="28" t="s">
        <v>1111</v>
      </c>
      <c r="W61" s="28">
        <v>934</v>
      </c>
      <c r="X61" s="105">
        <v>1.49</v>
      </c>
      <c r="Y61" s="105">
        <v>9.91</v>
      </c>
      <c r="Z61" s="73" t="s">
        <v>1254</v>
      </c>
      <c r="AA61" s="28">
        <v>0</v>
      </c>
    </row>
    <row r="62" spans="1:27" x14ac:dyDescent="0.25">
      <c r="A62" s="4"/>
      <c r="B62" s="98" t="s">
        <v>1196</v>
      </c>
      <c r="C62" s="75" t="s">
        <v>1193</v>
      </c>
      <c r="D62" s="28" t="s">
        <v>1194</v>
      </c>
      <c r="E62" s="28">
        <f t="shared" si="42"/>
        <v>92128</v>
      </c>
      <c r="F62" s="143" t="str">
        <f>INDEX(PV_Summary!$B$18:$B$118,MATCH($E62,PV_Summary!$A$18:$A$118,0))</f>
        <v>N</v>
      </c>
      <c r="G62" s="123">
        <v>32.987744999999997</v>
      </c>
      <c r="H62" s="61">
        <v>-117.07731</v>
      </c>
      <c r="I62" s="44" t="s">
        <v>3</v>
      </c>
      <c r="J62" s="46">
        <f t="shared" si="39"/>
        <v>0.75</v>
      </c>
      <c r="K62" s="100"/>
      <c r="L62" s="44" t="str">
        <f t="shared" si="40"/>
        <v/>
      </c>
      <c r="M62" s="46">
        <f t="shared" si="41"/>
        <v>0.75</v>
      </c>
      <c r="N62" s="46"/>
      <c r="O62" s="41">
        <f t="shared" si="4"/>
        <v>0</v>
      </c>
      <c r="P62" s="42">
        <v>59000</v>
      </c>
      <c r="Q62" s="44" t="s">
        <v>3</v>
      </c>
      <c r="R62" s="28" t="s">
        <v>55</v>
      </c>
      <c r="S62" s="48">
        <f t="shared" si="5"/>
        <v>413000</v>
      </c>
      <c r="T62" s="48">
        <f t="shared" si="6"/>
        <v>0</v>
      </c>
      <c r="W62" s="28">
        <v>934</v>
      </c>
      <c r="X62" s="105">
        <v>1.49</v>
      </c>
      <c r="Y62" s="105">
        <v>9.91</v>
      </c>
      <c r="Z62" s="73" t="s">
        <v>1254</v>
      </c>
      <c r="AA62" s="28">
        <v>200</v>
      </c>
    </row>
    <row r="63" spans="1:27" x14ac:dyDescent="0.25">
      <c r="A63" s="4"/>
      <c r="B63" s="98" t="s">
        <v>1197</v>
      </c>
      <c r="C63" s="75" t="s">
        <v>1193</v>
      </c>
      <c r="D63" s="28" t="s">
        <v>1194</v>
      </c>
      <c r="E63" s="28">
        <f t="shared" si="42"/>
        <v>92128</v>
      </c>
      <c r="F63" s="143" t="str">
        <f>INDEX(PV_Summary!$B$18:$B$118,MATCH($E63,PV_Summary!$A$18:$A$118,0))</f>
        <v>N</v>
      </c>
      <c r="G63" s="123">
        <v>32.987724999999998</v>
      </c>
      <c r="H63" s="61">
        <v>-117.076553</v>
      </c>
      <c r="I63" s="44" t="s">
        <v>3</v>
      </c>
      <c r="J63" s="46">
        <f t="shared" si="39"/>
        <v>0.75</v>
      </c>
      <c r="K63" s="100"/>
      <c r="L63" s="44" t="str">
        <f t="shared" si="40"/>
        <v/>
      </c>
      <c r="M63" s="46">
        <f t="shared" si="41"/>
        <v>0.75</v>
      </c>
      <c r="N63" s="46"/>
      <c r="O63" s="41">
        <f t="shared" si="4"/>
        <v>0</v>
      </c>
      <c r="P63" s="42">
        <v>87000</v>
      </c>
      <c r="Q63" s="44" t="s">
        <v>3</v>
      </c>
      <c r="R63" s="28" t="s">
        <v>55</v>
      </c>
      <c r="S63" s="48">
        <f t="shared" si="5"/>
        <v>609000</v>
      </c>
      <c r="T63" s="48">
        <f t="shared" si="6"/>
        <v>0</v>
      </c>
      <c r="W63" s="28">
        <v>934</v>
      </c>
      <c r="X63" s="105">
        <v>1.49</v>
      </c>
      <c r="Y63" s="105">
        <v>9.91</v>
      </c>
      <c r="Z63" s="73" t="s">
        <v>1254</v>
      </c>
      <c r="AA63" s="28">
        <v>100</v>
      </c>
    </row>
    <row r="64" spans="1:27" x14ac:dyDescent="0.25">
      <c r="A64" s="4"/>
      <c r="B64" s="98" t="s">
        <v>1198</v>
      </c>
      <c r="C64" s="75" t="s">
        <v>1193</v>
      </c>
      <c r="D64" s="28" t="s">
        <v>1194</v>
      </c>
      <c r="E64" s="28">
        <f t="shared" si="42"/>
        <v>92128</v>
      </c>
      <c r="F64" s="143" t="str">
        <f>INDEX(PV_Summary!$B$18:$B$118,MATCH($E64,PV_Summary!$A$18:$A$118,0))</f>
        <v>N</v>
      </c>
      <c r="G64" s="123">
        <v>32.986438999999997</v>
      </c>
      <c r="H64" s="61">
        <v>-117.076483</v>
      </c>
      <c r="I64" s="44" t="s">
        <v>3</v>
      </c>
      <c r="J64" s="46">
        <f t="shared" si="39"/>
        <v>0.75</v>
      </c>
      <c r="K64" s="100"/>
      <c r="L64" s="44" t="str">
        <f t="shared" si="40"/>
        <v/>
      </c>
      <c r="M64" s="46">
        <f t="shared" si="41"/>
        <v>0.75</v>
      </c>
      <c r="N64" s="46"/>
      <c r="O64" s="41">
        <f t="shared" si="4"/>
        <v>0</v>
      </c>
      <c r="P64" s="42">
        <v>93000</v>
      </c>
      <c r="Q64" s="44" t="s">
        <v>3</v>
      </c>
      <c r="R64" s="28" t="s">
        <v>55</v>
      </c>
      <c r="S64" s="48">
        <f t="shared" si="5"/>
        <v>651000</v>
      </c>
      <c r="T64" s="48">
        <f t="shared" si="6"/>
        <v>0</v>
      </c>
      <c r="W64" s="28">
        <v>934</v>
      </c>
      <c r="X64" s="105">
        <v>1.49</v>
      </c>
      <c r="Y64" s="105">
        <v>9.91</v>
      </c>
      <c r="Z64" s="73" t="s">
        <v>1254</v>
      </c>
      <c r="AA64" s="28">
        <v>0</v>
      </c>
    </row>
    <row r="65" spans="1:27" x14ac:dyDescent="0.25">
      <c r="A65" s="4"/>
      <c r="B65" s="98" t="s">
        <v>1199</v>
      </c>
      <c r="C65" s="75" t="s">
        <v>1193</v>
      </c>
      <c r="D65" s="28" t="s">
        <v>1194</v>
      </c>
      <c r="E65" s="28">
        <f t="shared" si="42"/>
        <v>92128</v>
      </c>
      <c r="F65" s="143" t="str">
        <f>INDEX(PV_Summary!$B$18:$B$118,MATCH($E65,PV_Summary!$A$18:$A$118,0))</f>
        <v>N</v>
      </c>
      <c r="G65" s="123">
        <v>32.986663999999998</v>
      </c>
      <c r="H65" s="61">
        <v>-117.077442</v>
      </c>
      <c r="I65" s="44" t="s">
        <v>3</v>
      </c>
      <c r="J65" s="46">
        <f t="shared" si="39"/>
        <v>0.75</v>
      </c>
      <c r="K65" s="100"/>
      <c r="L65" s="44" t="str">
        <f t="shared" si="40"/>
        <v/>
      </c>
      <c r="M65" s="46">
        <f t="shared" si="41"/>
        <v>0.75</v>
      </c>
      <c r="N65" s="46"/>
      <c r="O65" s="41">
        <f t="shared" si="4"/>
        <v>0</v>
      </c>
      <c r="P65" s="42">
        <v>57000</v>
      </c>
      <c r="Q65" s="44" t="s">
        <v>3</v>
      </c>
      <c r="R65" s="28" t="s">
        <v>55</v>
      </c>
      <c r="S65" s="48">
        <f t="shared" si="5"/>
        <v>399000</v>
      </c>
      <c r="T65" s="48">
        <f t="shared" si="6"/>
        <v>0</v>
      </c>
      <c r="W65" s="28">
        <v>934</v>
      </c>
      <c r="X65" s="105">
        <v>1.49</v>
      </c>
      <c r="Y65" s="105">
        <v>9.91</v>
      </c>
      <c r="Z65" s="73" t="s">
        <v>1254</v>
      </c>
      <c r="AA65" s="28">
        <v>0</v>
      </c>
    </row>
    <row r="66" spans="1:27" x14ac:dyDescent="0.25">
      <c r="A66" s="4"/>
      <c r="B66" s="62" t="s">
        <v>1211</v>
      </c>
      <c r="C66" s="75" t="s">
        <v>1212</v>
      </c>
      <c r="D66" s="28" t="s">
        <v>1194</v>
      </c>
      <c r="E66" s="28">
        <v>92128</v>
      </c>
      <c r="F66" s="143" t="str">
        <f>INDEX(PV_Summary!$B$18:$B$118,MATCH($E66,PV_Summary!$A$18:$A$118,0))</f>
        <v>N</v>
      </c>
      <c r="G66" s="123">
        <v>32.988591999999997</v>
      </c>
      <c r="H66" s="61">
        <v>-117.073291</v>
      </c>
      <c r="I66" s="44" t="s">
        <v>37</v>
      </c>
      <c r="J66" s="46">
        <f t="shared" ref="J66:J69" ca="1" si="43">IF(O66&gt;1,Sym_Scl_Aggr_Parent,IF(O66&lt;1,Sym_Scl_Aggr_Child,Sym_Scl_Normal))</f>
        <v>1</v>
      </c>
      <c r="K66" s="100"/>
      <c r="L66" s="44" t="str">
        <f t="shared" ref="L66:L69" ca="1" si="44">IF(O66&gt;1,"Total","")</f>
        <v/>
      </c>
      <c r="M66" s="46">
        <f t="shared" ref="M66:M69" ca="1" si="45">IF(O66&gt;1,Label_Scl_Aggr_Parent,IF(O66&lt;1,Label_Scl_Aggr_Child,Label_Scl_Normal))</f>
        <v>1</v>
      </c>
      <c r="N66" s="46"/>
      <c r="O66" s="41">
        <f t="shared" ca="1" si="4"/>
        <v>1</v>
      </c>
      <c r="P66" s="42">
        <v>182000</v>
      </c>
      <c r="Q66" s="44" t="s">
        <v>37</v>
      </c>
      <c r="R66" s="28" t="s">
        <v>56</v>
      </c>
      <c r="S66" s="48">
        <f t="shared" si="5"/>
        <v>1092000</v>
      </c>
      <c r="T66" s="48">
        <f t="shared" ca="1" si="6"/>
        <v>1092000</v>
      </c>
      <c r="U66" s="28" t="s">
        <v>1111</v>
      </c>
      <c r="W66" s="28">
        <v>937</v>
      </c>
      <c r="X66" s="105">
        <v>1.4</v>
      </c>
      <c r="Y66" s="105">
        <v>9.33</v>
      </c>
      <c r="Z66" s="73" t="s">
        <v>1254</v>
      </c>
      <c r="AA66" s="28">
        <v>0</v>
      </c>
    </row>
    <row r="67" spans="1:27" x14ac:dyDescent="0.25">
      <c r="A67" s="4"/>
      <c r="B67" s="62" t="s">
        <v>513</v>
      </c>
      <c r="C67" s="75" t="s">
        <v>1216</v>
      </c>
      <c r="D67" s="28" t="s">
        <v>1194</v>
      </c>
      <c r="E67" s="28">
        <v>92128</v>
      </c>
      <c r="F67" s="143" t="str">
        <f>INDEX(PV_Summary!$B$18:$B$118,MATCH($E67,PV_Summary!$A$18:$A$118,0))</f>
        <v>N</v>
      </c>
      <c r="G67" s="123">
        <v>32.984135999999999</v>
      </c>
      <c r="H67" s="61">
        <v>-117.074983</v>
      </c>
      <c r="I67" s="44" t="s">
        <v>62</v>
      </c>
      <c r="J67" s="46">
        <f t="shared" ca="1" si="43"/>
        <v>1.5</v>
      </c>
      <c r="K67" s="100"/>
      <c r="L67" s="44" t="str">
        <f t="shared" ca="1" si="44"/>
        <v>Total</v>
      </c>
      <c r="M67" s="46">
        <f t="shared" ca="1" si="45"/>
        <v>1.25</v>
      </c>
      <c r="N67" s="46"/>
      <c r="O67" s="41">
        <f t="shared" ca="1" si="4"/>
        <v>4</v>
      </c>
      <c r="Q67" s="44"/>
      <c r="S67" s="48">
        <f t="shared" si="5"/>
        <v>0</v>
      </c>
      <c r="T67" s="48">
        <f t="shared" ref="T67:T130" ca="1" si="46">SUMIF($C:$C,$C67,$S:$S)*IF($O67&gt;=1,1,0)</f>
        <v>1707000</v>
      </c>
      <c r="W67" s="28">
        <v>937</v>
      </c>
      <c r="X67" s="105">
        <v>1.4</v>
      </c>
      <c r="Y67" s="105">
        <v>9.33</v>
      </c>
      <c r="Z67" s="73" t="s">
        <v>1254</v>
      </c>
      <c r="AA67" s="28"/>
    </row>
    <row r="68" spans="1:27" x14ac:dyDescent="0.25">
      <c r="A68" s="4"/>
      <c r="B68" s="98" t="s">
        <v>1213</v>
      </c>
      <c r="C68" s="75" t="s">
        <v>1216</v>
      </c>
      <c r="D68" s="28" t="s">
        <v>1194</v>
      </c>
      <c r="E68" s="28">
        <v>92128</v>
      </c>
      <c r="F68" s="143" t="str">
        <f>INDEX(PV_Summary!$B$18:$B$118,MATCH($E68,PV_Summary!$A$18:$A$118,0))</f>
        <v>N</v>
      </c>
      <c r="G68" s="123">
        <v>32.984754000000002</v>
      </c>
      <c r="H68" s="61">
        <v>-117.074868</v>
      </c>
      <c r="I68" s="44" t="s">
        <v>37</v>
      </c>
      <c r="J68" s="46">
        <f t="shared" si="43"/>
        <v>0.75</v>
      </c>
      <c r="K68" s="100"/>
      <c r="L68" s="44" t="str">
        <f t="shared" si="44"/>
        <v/>
      </c>
      <c r="M68" s="46">
        <f t="shared" si="45"/>
        <v>0.75</v>
      </c>
      <c r="N68" s="46"/>
      <c r="O68" s="41">
        <f t="shared" si="4"/>
        <v>0</v>
      </c>
      <c r="P68" s="42">
        <v>88000</v>
      </c>
      <c r="Q68" s="44" t="s">
        <v>37</v>
      </c>
      <c r="R68" s="28" t="s">
        <v>57</v>
      </c>
      <c r="S68" s="48">
        <f t="shared" si="5"/>
        <v>440000</v>
      </c>
      <c r="T68" s="48">
        <f t="shared" si="46"/>
        <v>0</v>
      </c>
      <c r="U68" s="28" t="s">
        <v>1111</v>
      </c>
      <c r="W68" s="28">
        <v>937</v>
      </c>
      <c r="X68" s="105">
        <v>1.4</v>
      </c>
      <c r="Y68" s="105">
        <v>9.33</v>
      </c>
      <c r="Z68" s="73" t="s">
        <v>1254</v>
      </c>
      <c r="AA68" s="28">
        <v>200</v>
      </c>
    </row>
    <row r="69" spans="1:27" x14ac:dyDescent="0.25">
      <c r="A69" s="4"/>
      <c r="B69" s="98" t="s">
        <v>1214</v>
      </c>
      <c r="C69" s="75" t="s">
        <v>1216</v>
      </c>
      <c r="D69" s="28" t="s">
        <v>1194</v>
      </c>
      <c r="E69" s="28">
        <v>92128</v>
      </c>
      <c r="F69" s="143" t="str">
        <f>INDEX(PV_Summary!$B$18:$B$118,MATCH($E69,PV_Summary!$A$18:$A$118,0))</f>
        <v>N</v>
      </c>
      <c r="G69" s="123">
        <v>32.983705999999998</v>
      </c>
      <c r="H69" s="61">
        <v>-117.074816</v>
      </c>
      <c r="I69" s="44" t="s">
        <v>3</v>
      </c>
      <c r="J69" s="46">
        <f t="shared" si="43"/>
        <v>0.75</v>
      </c>
      <c r="K69" s="100"/>
      <c r="L69" s="44" t="str">
        <f t="shared" si="44"/>
        <v/>
      </c>
      <c r="M69" s="46">
        <f t="shared" si="45"/>
        <v>0.75</v>
      </c>
      <c r="N69" s="46"/>
      <c r="O69" s="41">
        <f t="shared" si="4"/>
        <v>0</v>
      </c>
      <c r="P69" s="42">
        <v>127000</v>
      </c>
      <c r="Q69" s="44" t="s">
        <v>3</v>
      </c>
      <c r="R69" s="28" t="s">
        <v>55</v>
      </c>
      <c r="S69" s="48">
        <f t="shared" si="5"/>
        <v>889000</v>
      </c>
      <c r="T69" s="48">
        <f t="shared" si="46"/>
        <v>0</v>
      </c>
      <c r="W69" s="28">
        <v>937</v>
      </c>
      <c r="X69" s="105">
        <v>1.4</v>
      </c>
      <c r="Y69" s="105">
        <v>9.33</v>
      </c>
      <c r="Z69" s="73" t="s">
        <v>1254</v>
      </c>
      <c r="AA69" s="28">
        <v>250</v>
      </c>
    </row>
    <row r="70" spans="1:27" x14ac:dyDescent="0.25">
      <c r="A70" s="4"/>
      <c r="B70" s="98" t="s">
        <v>1215</v>
      </c>
      <c r="C70" s="75" t="s">
        <v>1216</v>
      </c>
      <c r="D70" s="28" t="s">
        <v>1194</v>
      </c>
      <c r="E70" s="28">
        <v>92128</v>
      </c>
      <c r="F70" s="143" t="str">
        <f>INDEX(PV_Summary!$B$18:$B$118,MATCH($E70,PV_Summary!$A$18:$A$118,0))</f>
        <v>N</v>
      </c>
      <c r="G70" s="123">
        <v>32.983007000000001</v>
      </c>
      <c r="H70" s="61">
        <v>-117.074934</v>
      </c>
      <c r="I70" s="44" t="s">
        <v>3</v>
      </c>
      <c r="J70" s="46">
        <f t="shared" ref="J70:J83" si="47">IF(O70&gt;1,Sym_Scl_Aggr_Parent,IF(O70&lt;1,Sym_Scl_Aggr_Child,Sym_Scl_Normal))</f>
        <v>0.75</v>
      </c>
      <c r="K70" s="100"/>
      <c r="L70" s="44" t="str">
        <f t="shared" ref="L70:L83" si="48">IF(O70&gt;1,"Total","")</f>
        <v/>
      </c>
      <c r="M70" s="46">
        <f t="shared" ref="M70:M83" si="49">IF(O70&gt;1,Label_Scl_Aggr_Parent,IF(O70&lt;1,Label_Scl_Aggr_Child,Label_Scl_Normal))</f>
        <v>0.75</v>
      </c>
      <c r="N70" s="46"/>
      <c r="O70" s="41">
        <f t="shared" si="4"/>
        <v>0</v>
      </c>
      <c r="P70" s="42">
        <v>54000</v>
      </c>
      <c r="Q70" s="44" t="s">
        <v>3</v>
      </c>
      <c r="R70" s="28" t="s">
        <v>55</v>
      </c>
      <c r="S70" s="48">
        <f t="shared" si="5"/>
        <v>378000</v>
      </c>
      <c r="T70" s="48">
        <f t="shared" si="46"/>
        <v>0</v>
      </c>
      <c r="W70" s="28">
        <v>937</v>
      </c>
      <c r="X70" s="105">
        <v>1.4</v>
      </c>
      <c r="Y70" s="105">
        <v>9.33</v>
      </c>
      <c r="Z70" s="73" t="s">
        <v>1254</v>
      </c>
      <c r="AA70" s="28">
        <v>300</v>
      </c>
    </row>
    <row r="71" spans="1:27" x14ac:dyDescent="0.25">
      <c r="A71" s="4"/>
      <c r="B71" s="62" t="s">
        <v>1217</v>
      </c>
      <c r="C71" s="75" t="s">
        <v>1218</v>
      </c>
      <c r="D71" s="28" t="s">
        <v>1194</v>
      </c>
      <c r="E71" s="28">
        <v>92128</v>
      </c>
      <c r="F71" s="143" t="str">
        <f>INDEX(PV_Summary!$B$18:$B$118,MATCH($E71,PV_Summary!$A$18:$A$118,0))</f>
        <v>N</v>
      </c>
      <c r="G71" s="123">
        <v>32.982061000000002</v>
      </c>
      <c r="H71" s="61">
        <v>-117.07828000000001</v>
      </c>
      <c r="I71" s="44" t="s">
        <v>62</v>
      </c>
      <c r="J71" s="46">
        <f t="shared" ca="1" si="47"/>
        <v>1.5</v>
      </c>
      <c r="K71" s="100"/>
      <c r="L71" s="44" t="str">
        <f t="shared" ca="1" si="48"/>
        <v>Total</v>
      </c>
      <c r="M71" s="46">
        <f t="shared" ca="1" si="49"/>
        <v>1.25</v>
      </c>
      <c r="N71" s="46"/>
      <c r="O71" s="41">
        <f t="shared" ca="1" si="4"/>
        <v>13</v>
      </c>
      <c r="Q71" s="44"/>
      <c r="S71" s="48">
        <f t="shared" si="5"/>
        <v>0</v>
      </c>
      <c r="T71" s="48">
        <f t="shared" ca="1" si="46"/>
        <v>6153000</v>
      </c>
      <c r="W71" s="28">
        <v>934</v>
      </c>
      <c r="X71" s="105">
        <v>1.49</v>
      </c>
      <c r="Y71" s="105">
        <v>9.91</v>
      </c>
      <c r="Z71" s="73" t="s">
        <v>1254</v>
      </c>
      <c r="AA71" s="28"/>
    </row>
    <row r="72" spans="1:27" x14ac:dyDescent="0.25">
      <c r="A72" s="4"/>
      <c r="B72" s="98" t="s">
        <v>619</v>
      </c>
      <c r="C72" s="75" t="s">
        <v>1218</v>
      </c>
      <c r="D72" s="28" t="s">
        <v>1194</v>
      </c>
      <c r="E72" s="28">
        <v>92128</v>
      </c>
      <c r="F72" s="143" t="str">
        <f>INDEX(PV_Summary!$B$18:$B$118,MATCH($E72,PV_Summary!$A$18:$A$118,0))</f>
        <v>N</v>
      </c>
      <c r="G72" s="123">
        <v>32.984904999999998</v>
      </c>
      <c r="H72" s="61">
        <v>-117.077727</v>
      </c>
      <c r="I72" s="44" t="s">
        <v>37</v>
      </c>
      <c r="J72" s="46">
        <f t="shared" si="47"/>
        <v>0.75</v>
      </c>
      <c r="K72" s="100"/>
      <c r="L72" s="44" t="str">
        <f t="shared" si="48"/>
        <v/>
      </c>
      <c r="M72" s="46">
        <f t="shared" si="49"/>
        <v>0.75</v>
      </c>
      <c r="N72" s="46"/>
      <c r="O72" s="41">
        <f t="shared" si="4"/>
        <v>0</v>
      </c>
      <c r="P72" s="42">
        <v>102000</v>
      </c>
      <c r="Q72" s="44" t="s">
        <v>37</v>
      </c>
      <c r="R72" s="28" t="s">
        <v>55</v>
      </c>
      <c r="S72" s="48">
        <f t="shared" si="5"/>
        <v>714000</v>
      </c>
      <c r="T72" s="48">
        <f t="shared" si="46"/>
        <v>0</v>
      </c>
      <c r="W72" s="28">
        <v>934</v>
      </c>
      <c r="X72" s="105">
        <v>1.49</v>
      </c>
      <c r="Y72" s="105">
        <v>9.91</v>
      </c>
      <c r="Z72" s="73" t="s">
        <v>1254</v>
      </c>
      <c r="AA72" s="28">
        <v>0</v>
      </c>
    </row>
    <row r="73" spans="1:27" x14ac:dyDescent="0.25">
      <c r="A73" s="4"/>
      <c r="B73" s="98" t="s">
        <v>1219</v>
      </c>
      <c r="C73" s="75" t="s">
        <v>1218</v>
      </c>
      <c r="D73" s="28" t="s">
        <v>1194</v>
      </c>
      <c r="E73" s="28">
        <v>92128</v>
      </c>
      <c r="F73" s="143" t="str">
        <f>INDEX(PV_Summary!$B$18:$B$118,MATCH($E73,PV_Summary!$A$18:$A$118,0))</f>
        <v>N</v>
      </c>
      <c r="G73" s="123">
        <v>32.984186000000001</v>
      </c>
      <c r="H73" s="61">
        <v>-117.07809399999999</v>
      </c>
      <c r="I73" s="44" t="s">
        <v>37</v>
      </c>
      <c r="J73" s="46">
        <f t="shared" si="47"/>
        <v>0.75</v>
      </c>
      <c r="K73" s="100"/>
      <c r="L73" s="44" t="str">
        <f t="shared" si="48"/>
        <v/>
      </c>
      <c r="M73" s="46">
        <f t="shared" si="49"/>
        <v>0.75</v>
      </c>
      <c r="N73" s="46"/>
      <c r="O73" s="41">
        <f t="shared" si="4"/>
        <v>0</v>
      </c>
      <c r="P73" s="42">
        <v>16000</v>
      </c>
      <c r="Q73" s="44" t="s">
        <v>37</v>
      </c>
      <c r="R73" s="28" t="s">
        <v>55</v>
      </c>
      <c r="S73" s="48">
        <f t="shared" si="5"/>
        <v>112000</v>
      </c>
      <c r="T73" s="48">
        <f t="shared" si="46"/>
        <v>0</v>
      </c>
      <c r="W73" s="28">
        <v>934</v>
      </c>
      <c r="X73" s="105">
        <v>1.49</v>
      </c>
      <c r="Y73" s="105">
        <v>9.91</v>
      </c>
      <c r="Z73" s="73" t="s">
        <v>1254</v>
      </c>
      <c r="AA73" s="28">
        <v>0</v>
      </c>
    </row>
    <row r="74" spans="1:27" x14ac:dyDescent="0.25">
      <c r="A74" s="4"/>
      <c r="B74" s="98" t="s">
        <v>1220</v>
      </c>
      <c r="C74" s="75" t="s">
        <v>1218</v>
      </c>
      <c r="D74" s="28" t="s">
        <v>1194</v>
      </c>
      <c r="E74" s="28">
        <v>92128</v>
      </c>
      <c r="F74" s="143" t="str">
        <f>INDEX(PV_Summary!$B$18:$B$118,MATCH($E74,PV_Summary!$A$18:$A$118,0))</f>
        <v>N</v>
      </c>
      <c r="G74" s="123">
        <v>32.982700999999999</v>
      </c>
      <c r="H74" s="61">
        <v>-117.078569</v>
      </c>
      <c r="I74" s="44" t="s">
        <v>37</v>
      </c>
      <c r="J74" s="46">
        <f t="shared" si="47"/>
        <v>0.75</v>
      </c>
      <c r="K74" s="100"/>
      <c r="L74" s="44" t="str">
        <f t="shared" si="48"/>
        <v/>
      </c>
      <c r="M74" s="46">
        <f t="shared" si="49"/>
        <v>0.75</v>
      </c>
      <c r="N74" s="46"/>
      <c r="O74" s="41">
        <f t="shared" si="4"/>
        <v>0</v>
      </c>
      <c r="P74" s="42">
        <v>58000</v>
      </c>
      <c r="Q74" s="44" t="s">
        <v>37</v>
      </c>
      <c r="R74" s="28" t="s">
        <v>55</v>
      </c>
      <c r="S74" s="48">
        <f t="shared" si="5"/>
        <v>406000</v>
      </c>
      <c r="T74" s="48">
        <f t="shared" si="46"/>
        <v>0</v>
      </c>
      <c r="W74" s="28">
        <v>934</v>
      </c>
      <c r="X74" s="105">
        <v>1.49</v>
      </c>
      <c r="Y74" s="105">
        <v>9.91</v>
      </c>
      <c r="Z74" s="73" t="s">
        <v>1254</v>
      </c>
      <c r="AA74" s="28">
        <v>0</v>
      </c>
    </row>
    <row r="75" spans="1:27" x14ac:dyDescent="0.25">
      <c r="A75" s="4"/>
      <c r="B75" s="98" t="s">
        <v>1229</v>
      </c>
      <c r="C75" s="75" t="s">
        <v>1218</v>
      </c>
      <c r="D75" s="28" t="s">
        <v>1194</v>
      </c>
      <c r="E75" s="28">
        <v>92128</v>
      </c>
      <c r="F75" s="143" t="str">
        <f>INDEX(PV_Summary!$B$18:$B$118,MATCH($E75,PV_Summary!$A$18:$A$118,0))</f>
        <v>N</v>
      </c>
      <c r="G75" s="123">
        <v>32.981436000000002</v>
      </c>
      <c r="H75" s="61">
        <v>-117.07931000000001</v>
      </c>
      <c r="I75" s="44" t="s">
        <v>37</v>
      </c>
      <c r="J75" s="46">
        <f t="shared" si="47"/>
        <v>0.75</v>
      </c>
      <c r="K75" s="100"/>
      <c r="L75" s="44" t="str">
        <f t="shared" si="48"/>
        <v/>
      </c>
      <c r="M75" s="46">
        <f t="shared" si="49"/>
        <v>0.75</v>
      </c>
      <c r="N75" s="46"/>
      <c r="O75" s="41">
        <f t="shared" si="4"/>
        <v>0</v>
      </c>
      <c r="P75" s="42">
        <f>16000+N("Marshalls") + 11000+N("B&amp;N") + 21000+N("Ross")</f>
        <v>48000</v>
      </c>
      <c r="Q75" s="44" t="s">
        <v>37</v>
      </c>
      <c r="R75" s="28" t="s">
        <v>55</v>
      </c>
      <c r="S75" s="48">
        <f t="shared" si="5"/>
        <v>336000</v>
      </c>
      <c r="T75" s="48">
        <f t="shared" si="46"/>
        <v>0</v>
      </c>
      <c r="W75" s="28">
        <v>934</v>
      </c>
      <c r="X75" s="105">
        <v>1.49</v>
      </c>
      <c r="Y75" s="105">
        <v>9.91</v>
      </c>
      <c r="Z75" s="73" t="s">
        <v>1254</v>
      </c>
      <c r="AA75" s="28">
        <v>0</v>
      </c>
    </row>
    <row r="76" spans="1:27" x14ac:dyDescent="0.25">
      <c r="A76" s="4"/>
      <c r="B76" s="98" t="s">
        <v>1226</v>
      </c>
      <c r="C76" s="75" t="s">
        <v>1218</v>
      </c>
      <c r="D76" s="28" t="s">
        <v>1194</v>
      </c>
      <c r="E76" s="28">
        <v>92128</v>
      </c>
      <c r="F76" s="143" t="str">
        <f>INDEX(PV_Summary!$B$18:$B$118,MATCH($E76,PV_Summary!$A$18:$A$118,0))</f>
        <v>N</v>
      </c>
      <c r="G76" s="123">
        <v>32.981087000000002</v>
      </c>
      <c r="H76" s="61">
        <v>-117.080917</v>
      </c>
      <c r="I76" s="44" t="s">
        <v>37</v>
      </c>
      <c r="J76" s="46">
        <f t="shared" si="47"/>
        <v>0.75</v>
      </c>
      <c r="K76" s="100"/>
      <c r="L76" s="44" t="str">
        <f t="shared" si="48"/>
        <v/>
      </c>
      <c r="M76" s="46">
        <f t="shared" si="49"/>
        <v>0.75</v>
      </c>
      <c r="N76" s="46"/>
      <c r="O76" s="41">
        <f t="shared" si="4"/>
        <v>0</v>
      </c>
      <c r="P76" s="42">
        <v>37000</v>
      </c>
      <c r="Q76" s="44" t="s">
        <v>37</v>
      </c>
      <c r="R76" s="28" t="s">
        <v>55</v>
      </c>
      <c r="S76" s="48">
        <f t="shared" si="5"/>
        <v>259000</v>
      </c>
      <c r="T76" s="48">
        <f t="shared" si="46"/>
        <v>0</v>
      </c>
      <c r="W76" s="28">
        <v>934</v>
      </c>
      <c r="X76" s="105">
        <v>1.49</v>
      </c>
      <c r="Y76" s="105">
        <v>9.91</v>
      </c>
      <c r="Z76" s="73" t="s">
        <v>1254</v>
      </c>
      <c r="AA76" s="28">
        <v>150</v>
      </c>
    </row>
    <row r="77" spans="1:27" x14ac:dyDescent="0.25">
      <c r="A77" s="4"/>
      <c r="B77" s="98" t="s">
        <v>1227</v>
      </c>
      <c r="C77" s="75" t="s">
        <v>1218</v>
      </c>
      <c r="D77" s="28" t="s">
        <v>1194</v>
      </c>
      <c r="E77" s="28">
        <v>92128</v>
      </c>
      <c r="F77" s="143" t="str">
        <f>INDEX(PV_Summary!$B$18:$B$118,MATCH($E77,PV_Summary!$A$18:$A$118,0))</f>
        <v>N</v>
      </c>
      <c r="G77" s="123">
        <v>32.981160000000003</v>
      </c>
      <c r="H77" s="61">
        <v>-117.082088</v>
      </c>
      <c r="I77" s="44" t="s">
        <v>37</v>
      </c>
      <c r="J77" s="46">
        <f t="shared" si="47"/>
        <v>0.75</v>
      </c>
      <c r="K77" s="100"/>
      <c r="L77" s="44" t="str">
        <f t="shared" si="48"/>
        <v/>
      </c>
      <c r="M77" s="46">
        <f t="shared" si="49"/>
        <v>0.75</v>
      </c>
      <c r="N77" s="46"/>
      <c r="O77" s="41">
        <f t="shared" si="4"/>
        <v>0</v>
      </c>
      <c r="P77" s="42">
        <f>12000+N("N") + 4000+N("mid W") + 4000+N("mid E")</f>
        <v>20000</v>
      </c>
      <c r="Q77" s="44" t="s">
        <v>37</v>
      </c>
      <c r="R77" s="28" t="s">
        <v>55</v>
      </c>
      <c r="S77" s="48">
        <f t="shared" si="5"/>
        <v>140000</v>
      </c>
      <c r="T77" s="48">
        <f t="shared" si="46"/>
        <v>0</v>
      </c>
      <c r="W77" s="28">
        <v>934</v>
      </c>
      <c r="X77" s="105">
        <v>1.49</v>
      </c>
      <c r="Y77" s="105">
        <v>9.91</v>
      </c>
      <c r="Z77" s="73" t="s">
        <v>1254</v>
      </c>
      <c r="AA77" s="28">
        <v>300</v>
      </c>
    </row>
    <row r="78" spans="1:27" x14ac:dyDescent="0.25">
      <c r="A78" s="4"/>
      <c r="B78" s="98" t="s">
        <v>1221</v>
      </c>
      <c r="C78" s="75" t="s">
        <v>1218</v>
      </c>
      <c r="D78" s="28" t="s">
        <v>1194</v>
      </c>
      <c r="E78" s="28">
        <v>92128</v>
      </c>
      <c r="F78" s="143" t="str">
        <f>INDEX(PV_Summary!$B$18:$B$118,MATCH($E78,PV_Summary!$A$18:$A$118,0))</f>
        <v>N</v>
      </c>
      <c r="G78" s="123">
        <v>32.984411999999999</v>
      </c>
      <c r="H78" s="61">
        <v>-117.07648399999999</v>
      </c>
      <c r="I78" s="44" t="s">
        <v>3</v>
      </c>
      <c r="J78" s="46">
        <f t="shared" si="47"/>
        <v>0.75</v>
      </c>
      <c r="K78" s="100"/>
      <c r="L78" s="44" t="str">
        <f t="shared" si="48"/>
        <v/>
      </c>
      <c r="M78" s="46">
        <f t="shared" si="49"/>
        <v>0.75</v>
      </c>
      <c r="N78" s="46"/>
      <c r="O78" s="41">
        <f t="shared" si="4"/>
        <v>0</v>
      </c>
      <c r="P78" s="42">
        <v>152000</v>
      </c>
      <c r="Q78" s="44" t="s">
        <v>3</v>
      </c>
      <c r="R78" s="28" t="s">
        <v>55</v>
      </c>
      <c r="S78" s="48">
        <f t="shared" si="5"/>
        <v>1064000</v>
      </c>
      <c r="T78" s="48">
        <f t="shared" si="46"/>
        <v>0</v>
      </c>
      <c r="W78" s="28">
        <v>934</v>
      </c>
      <c r="X78" s="105">
        <v>1.49</v>
      </c>
      <c r="Y78" s="105">
        <v>9.91</v>
      </c>
      <c r="Z78" s="73" t="s">
        <v>1254</v>
      </c>
      <c r="AA78" s="28">
        <v>0</v>
      </c>
    </row>
    <row r="79" spans="1:27" x14ac:dyDescent="0.25">
      <c r="A79" s="4"/>
      <c r="B79" s="98" t="s">
        <v>1222</v>
      </c>
      <c r="C79" s="75" t="s">
        <v>1218</v>
      </c>
      <c r="D79" s="28" t="s">
        <v>1194</v>
      </c>
      <c r="E79" s="28">
        <v>92128</v>
      </c>
      <c r="F79" s="143" t="str">
        <f>INDEX(PV_Summary!$B$18:$B$118,MATCH($E79,PV_Summary!$A$18:$A$118,0))</f>
        <v>N</v>
      </c>
      <c r="G79" s="123">
        <v>32.983513000000002</v>
      </c>
      <c r="H79" s="61">
        <v>-117.077786</v>
      </c>
      <c r="I79" s="44" t="s">
        <v>3</v>
      </c>
      <c r="J79" s="46">
        <f t="shared" si="47"/>
        <v>0.75</v>
      </c>
      <c r="K79" s="100"/>
      <c r="L79" s="44" t="str">
        <f t="shared" si="48"/>
        <v/>
      </c>
      <c r="M79" s="46">
        <f t="shared" si="49"/>
        <v>0.75</v>
      </c>
      <c r="N79" s="46"/>
      <c r="O79" s="41">
        <f t="shared" si="4"/>
        <v>0</v>
      </c>
      <c r="P79" s="42">
        <v>63000</v>
      </c>
      <c r="Q79" s="44" t="s">
        <v>3</v>
      </c>
      <c r="R79" s="28" t="s">
        <v>55</v>
      </c>
      <c r="S79" s="48">
        <f t="shared" si="5"/>
        <v>441000</v>
      </c>
      <c r="T79" s="48">
        <f t="shared" si="46"/>
        <v>0</v>
      </c>
      <c r="W79" s="28">
        <v>934</v>
      </c>
      <c r="X79" s="105">
        <v>1.49</v>
      </c>
      <c r="Y79" s="105">
        <v>9.91</v>
      </c>
      <c r="Z79" s="73" t="s">
        <v>1254</v>
      </c>
      <c r="AA79" s="28">
        <v>100</v>
      </c>
    </row>
    <row r="80" spans="1:27" x14ac:dyDescent="0.25">
      <c r="A80" s="4"/>
      <c r="B80" s="98" t="s">
        <v>1223</v>
      </c>
      <c r="C80" s="75" t="s">
        <v>1218</v>
      </c>
      <c r="D80" s="28" t="s">
        <v>1194</v>
      </c>
      <c r="E80" s="28">
        <v>92128</v>
      </c>
      <c r="F80" s="143" t="str">
        <f>INDEX(PV_Summary!$B$18:$B$118,MATCH($E80,PV_Summary!$A$18:$A$118,0))</f>
        <v>N</v>
      </c>
      <c r="G80" s="123">
        <v>32.982604000000002</v>
      </c>
      <c r="H80" s="61">
        <v>-117.07741300000001</v>
      </c>
      <c r="I80" s="44" t="s">
        <v>3</v>
      </c>
      <c r="J80" s="46">
        <f t="shared" si="47"/>
        <v>0.75</v>
      </c>
      <c r="K80" s="100"/>
      <c r="L80" s="44" t="str">
        <f t="shared" si="48"/>
        <v/>
      </c>
      <c r="M80" s="46">
        <f t="shared" si="49"/>
        <v>0.75</v>
      </c>
      <c r="N80" s="46"/>
      <c r="O80" s="41">
        <f t="shared" si="4"/>
        <v>0</v>
      </c>
      <c r="P80" s="42">
        <v>117000</v>
      </c>
      <c r="Q80" s="44" t="s">
        <v>3</v>
      </c>
      <c r="R80" s="28" t="s">
        <v>55</v>
      </c>
      <c r="S80" s="48">
        <f t="shared" si="5"/>
        <v>819000</v>
      </c>
      <c r="T80" s="48">
        <f t="shared" si="46"/>
        <v>0</v>
      </c>
      <c r="W80" s="28">
        <v>934</v>
      </c>
      <c r="X80" s="105">
        <v>1.49</v>
      </c>
      <c r="Y80" s="105">
        <v>9.91</v>
      </c>
      <c r="Z80" s="73" t="s">
        <v>1254</v>
      </c>
      <c r="AA80" s="28">
        <v>0</v>
      </c>
    </row>
    <row r="81" spans="1:27" x14ac:dyDescent="0.25">
      <c r="A81" s="4"/>
      <c r="B81" s="98" t="s">
        <v>1224</v>
      </c>
      <c r="C81" s="75" t="s">
        <v>1218</v>
      </c>
      <c r="D81" s="28" t="s">
        <v>1194</v>
      </c>
      <c r="E81" s="28">
        <v>92128</v>
      </c>
      <c r="F81" s="143" t="str">
        <f>INDEX(PV_Summary!$B$18:$B$118,MATCH($E81,PV_Summary!$A$18:$A$118,0))</f>
        <v>N</v>
      </c>
      <c r="G81" s="123">
        <v>32.981627000000003</v>
      </c>
      <c r="H81" s="61">
        <v>-117.078473</v>
      </c>
      <c r="I81" s="44" t="s">
        <v>3</v>
      </c>
      <c r="J81" s="46">
        <f t="shared" si="47"/>
        <v>0.75</v>
      </c>
      <c r="K81" s="100"/>
      <c r="L81" s="44" t="str">
        <f t="shared" si="48"/>
        <v/>
      </c>
      <c r="M81" s="46">
        <f t="shared" si="49"/>
        <v>0.75</v>
      </c>
      <c r="N81" s="46"/>
      <c r="O81" s="41">
        <f t="shared" ref="O81:O150" si="50">IF($C81=$C80,0,COUNTIFS(Address,$C81))</f>
        <v>0</v>
      </c>
      <c r="P81" s="42">
        <v>59000</v>
      </c>
      <c r="Q81" s="44" t="s">
        <v>3</v>
      </c>
      <c r="R81" s="28" t="s">
        <v>55</v>
      </c>
      <c r="S81" s="48">
        <f t="shared" si="5"/>
        <v>413000</v>
      </c>
      <c r="T81" s="48">
        <f t="shared" si="46"/>
        <v>0</v>
      </c>
      <c r="W81" s="28">
        <v>934</v>
      </c>
      <c r="X81" s="105">
        <v>1.49</v>
      </c>
      <c r="Y81" s="105">
        <v>9.91</v>
      </c>
      <c r="Z81" s="73" t="s">
        <v>1254</v>
      </c>
      <c r="AA81" s="28">
        <v>0</v>
      </c>
    </row>
    <row r="82" spans="1:27" x14ac:dyDescent="0.25">
      <c r="A82" s="4"/>
      <c r="B82" s="98" t="s">
        <v>1225</v>
      </c>
      <c r="C82" s="75" t="s">
        <v>1218</v>
      </c>
      <c r="D82" s="28" t="s">
        <v>1194</v>
      </c>
      <c r="E82" s="28">
        <v>92128</v>
      </c>
      <c r="F82" s="143" t="str">
        <f>INDEX(PV_Summary!$B$18:$B$118,MATCH($E82,PV_Summary!$A$18:$A$118,0))</f>
        <v>N</v>
      </c>
      <c r="G82" s="123">
        <v>32.980507000000003</v>
      </c>
      <c r="H82" s="61">
        <v>-117.079842</v>
      </c>
      <c r="I82" s="44" t="s">
        <v>3</v>
      </c>
      <c r="J82" s="46">
        <f t="shared" si="47"/>
        <v>0.75</v>
      </c>
      <c r="K82" s="100"/>
      <c r="L82" s="44" t="str">
        <f t="shared" si="48"/>
        <v/>
      </c>
      <c r="M82" s="46">
        <f t="shared" si="49"/>
        <v>0.75</v>
      </c>
      <c r="N82" s="46"/>
      <c r="O82" s="41">
        <f t="shared" si="50"/>
        <v>0</v>
      </c>
      <c r="P82" s="42">
        <v>92000</v>
      </c>
      <c r="Q82" s="44" t="s">
        <v>3</v>
      </c>
      <c r="R82" s="28" t="s">
        <v>55</v>
      </c>
      <c r="S82" s="48">
        <f t="shared" si="5"/>
        <v>644000</v>
      </c>
      <c r="T82" s="48">
        <f t="shared" si="46"/>
        <v>0</v>
      </c>
      <c r="W82" s="28">
        <v>934</v>
      </c>
      <c r="X82" s="105">
        <v>1.49</v>
      </c>
      <c r="Y82" s="105">
        <v>9.91</v>
      </c>
      <c r="Z82" s="73" t="s">
        <v>1254</v>
      </c>
      <c r="AA82" s="28">
        <v>0</v>
      </c>
    </row>
    <row r="83" spans="1:27" x14ac:dyDescent="0.25">
      <c r="A83" s="4"/>
      <c r="B83" s="98" t="s">
        <v>1228</v>
      </c>
      <c r="C83" s="75" t="s">
        <v>1218</v>
      </c>
      <c r="D83" s="28" t="s">
        <v>1194</v>
      </c>
      <c r="E83" s="28">
        <v>92128</v>
      </c>
      <c r="F83" s="143" t="str">
        <f>INDEX(PV_Summary!$B$18:$B$118,MATCH($E83,PV_Summary!$A$18:$A$118,0))</f>
        <v>N</v>
      </c>
      <c r="G83" s="123">
        <v>32.980328999999998</v>
      </c>
      <c r="H83" s="61">
        <v>-117.08126799999999</v>
      </c>
      <c r="I83" s="44" t="s">
        <v>3</v>
      </c>
      <c r="J83" s="46">
        <f t="shared" si="47"/>
        <v>0.75</v>
      </c>
      <c r="K83" s="100"/>
      <c r="L83" s="44" t="str">
        <f t="shared" si="48"/>
        <v/>
      </c>
      <c r="M83" s="46">
        <f t="shared" si="49"/>
        <v>0.75</v>
      </c>
      <c r="N83" s="46"/>
      <c r="O83" s="41">
        <f t="shared" si="50"/>
        <v>0</v>
      </c>
      <c r="P83" s="42">
        <v>115000</v>
      </c>
      <c r="Q83" s="44" t="s">
        <v>3</v>
      </c>
      <c r="R83" s="28" t="s">
        <v>55</v>
      </c>
      <c r="S83" s="48">
        <f t="shared" si="5"/>
        <v>805000</v>
      </c>
      <c r="T83" s="48">
        <f t="shared" si="46"/>
        <v>0</v>
      </c>
      <c r="W83" s="28">
        <v>934</v>
      </c>
      <c r="X83" s="105">
        <v>1.49</v>
      </c>
      <c r="Y83" s="105">
        <v>9.91</v>
      </c>
      <c r="Z83" s="73" t="s">
        <v>1254</v>
      </c>
      <c r="AA83" s="28">
        <v>0</v>
      </c>
    </row>
    <row r="84" spans="1:27" x14ac:dyDescent="0.25">
      <c r="A84" s="4"/>
      <c r="B84" s="62" t="s">
        <v>1235</v>
      </c>
      <c r="C84" s="75" t="s">
        <v>1230</v>
      </c>
      <c r="D84" s="28" t="s">
        <v>1231</v>
      </c>
      <c r="E84" s="28">
        <v>92128</v>
      </c>
      <c r="F84" s="143" t="str">
        <f>INDEX(PV_Summary!$B$18:$B$118,MATCH($E84,PV_Summary!$A$18:$A$118,0))</f>
        <v>N</v>
      </c>
      <c r="G84" s="123">
        <v>32.980955000000002</v>
      </c>
      <c r="H84" s="61">
        <v>-117.075965</v>
      </c>
      <c r="I84" s="44" t="s">
        <v>62</v>
      </c>
      <c r="J84" s="46">
        <f t="shared" ref="J84:J89" ca="1" si="51">IF(O84&gt;1,Sym_Scl_Aggr_Parent,IF(O84&lt;1,Sym_Scl_Aggr_Child,Sym_Scl_Normal))</f>
        <v>1.5</v>
      </c>
      <c r="K84" s="100"/>
      <c r="L84" s="44" t="str">
        <f t="shared" ref="L84:L89" ca="1" si="52">IF(O84&gt;1,"Total","")</f>
        <v>Total</v>
      </c>
      <c r="M84" s="46">
        <f t="shared" ref="M84:M89" ca="1" si="53">IF(O84&gt;1,Label_Scl_Aggr_Parent,IF(O84&lt;1,Label_Scl_Aggr_Child,Label_Scl_Normal))</f>
        <v>1.25</v>
      </c>
      <c r="N84" s="46"/>
      <c r="O84" s="41">
        <f t="shared" ca="1" si="50"/>
        <v>4</v>
      </c>
      <c r="Q84" s="44"/>
      <c r="S84" s="48">
        <f t="shared" si="5"/>
        <v>0</v>
      </c>
      <c r="T84" s="48">
        <f t="shared" ca="1" si="46"/>
        <v>980000</v>
      </c>
      <c r="W84" s="28">
        <v>937</v>
      </c>
      <c r="X84" s="105">
        <v>1.4</v>
      </c>
      <c r="Y84" s="105">
        <v>9.33</v>
      </c>
      <c r="Z84" s="73" t="s">
        <v>1254</v>
      </c>
      <c r="AA84" s="28"/>
    </row>
    <row r="85" spans="1:27" x14ac:dyDescent="0.25">
      <c r="A85" s="4"/>
      <c r="B85" s="98" t="s">
        <v>1232</v>
      </c>
      <c r="C85" s="75" t="s">
        <v>1230</v>
      </c>
      <c r="D85" s="28" t="s">
        <v>1231</v>
      </c>
      <c r="E85" s="28">
        <v>92128</v>
      </c>
      <c r="F85" s="143" t="str">
        <f>INDEX(PV_Summary!$B$18:$B$118,MATCH($E85,PV_Summary!$A$18:$A$118,0))</f>
        <v>N</v>
      </c>
      <c r="G85" s="123">
        <v>32.981889000000002</v>
      </c>
      <c r="H85" s="61">
        <v>-117.07565099999999</v>
      </c>
      <c r="I85" s="44" t="s">
        <v>3</v>
      </c>
      <c r="J85" s="46">
        <f t="shared" si="51"/>
        <v>0.75</v>
      </c>
      <c r="K85" s="100"/>
      <c r="L85" s="44" t="str">
        <f t="shared" si="52"/>
        <v/>
      </c>
      <c r="M85" s="46">
        <f t="shared" si="53"/>
        <v>0.75</v>
      </c>
      <c r="N85" s="46"/>
      <c r="O85" s="41">
        <f t="shared" si="50"/>
        <v>0</v>
      </c>
      <c r="P85" s="42">
        <v>47000</v>
      </c>
      <c r="Q85" s="44" t="s">
        <v>3</v>
      </c>
      <c r="R85" s="28" t="s">
        <v>55</v>
      </c>
      <c r="S85" s="48">
        <f t="shared" si="5"/>
        <v>329000</v>
      </c>
      <c r="T85" s="48">
        <f t="shared" si="46"/>
        <v>0</v>
      </c>
      <c r="W85" s="28">
        <v>937</v>
      </c>
      <c r="X85" s="105">
        <v>1.4</v>
      </c>
      <c r="Y85" s="105">
        <v>9.33</v>
      </c>
      <c r="Z85" s="73" t="s">
        <v>1254</v>
      </c>
      <c r="AA85" s="28">
        <v>0</v>
      </c>
    </row>
    <row r="86" spans="1:27" x14ac:dyDescent="0.25">
      <c r="A86" s="4"/>
      <c r="B86" s="98" t="s">
        <v>1233</v>
      </c>
      <c r="C86" s="75" t="s">
        <v>1230</v>
      </c>
      <c r="D86" s="28" t="s">
        <v>1231</v>
      </c>
      <c r="E86" s="28">
        <v>92128</v>
      </c>
      <c r="F86" s="143" t="str">
        <f>INDEX(PV_Summary!$B$18:$B$118,MATCH($E86,PV_Summary!$A$18:$A$118,0))</f>
        <v>N</v>
      </c>
      <c r="G86" s="123">
        <v>32.981171000000003</v>
      </c>
      <c r="H86" s="61">
        <v>-117.07645100000001</v>
      </c>
      <c r="I86" s="44" t="s">
        <v>3</v>
      </c>
      <c r="J86" s="46">
        <f t="shared" si="51"/>
        <v>0.75</v>
      </c>
      <c r="K86" s="100"/>
      <c r="L86" s="44" t="str">
        <f t="shared" si="52"/>
        <v/>
      </c>
      <c r="M86" s="46">
        <f t="shared" si="53"/>
        <v>0.75</v>
      </c>
      <c r="N86" s="46"/>
      <c r="O86" s="41">
        <f t="shared" si="50"/>
        <v>0</v>
      </c>
      <c r="P86" s="42">
        <v>46000</v>
      </c>
      <c r="Q86" s="44" t="s">
        <v>3</v>
      </c>
      <c r="R86" s="28" t="s">
        <v>55</v>
      </c>
      <c r="S86" s="48">
        <f t="shared" si="5"/>
        <v>322000</v>
      </c>
      <c r="T86" s="48">
        <f t="shared" si="46"/>
        <v>0</v>
      </c>
      <c r="W86" s="28">
        <v>937</v>
      </c>
      <c r="X86" s="105">
        <v>1.4</v>
      </c>
      <c r="Y86" s="105">
        <v>9.33</v>
      </c>
      <c r="Z86" s="73" t="s">
        <v>1254</v>
      </c>
      <c r="AA86" s="28">
        <v>0</v>
      </c>
    </row>
    <row r="87" spans="1:27" x14ac:dyDescent="0.25">
      <c r="A87" s="4"/>
      <c r="B87" s="98" t="s">
        <v>1234</v>
      </c>
      <c r="C87" s="75" t="s">
        <v>1230</v>
      </c>
      <c r="D87" s="28" t="s">
        <v>1231</v>
      </c>
      <c r="E87" s="28">
        <v>92128</v>
      </c>
      <c r="F87" s="143" t="str">
        <f>INDEX(PV_Summary!$B$18:$B$118,MATCH($E87,PV_Summary!$A$18:$A$118,0))</f>
        <v>N</v>
      </c>
      <c r="G87" s="123">
        <v>32.980398000000001</v>
      </c>
      <c r="H87" s="61">
        <v>-117.07696799999999</v>
      </c>
      <c r="I87" s="44" t="s">
        <v>3</v>
      </c>
      <c r="J87" s="46">
        <f t="shared" si="51"/>
        <v>0.75</v>
      </c>
      <c r="K87" s="100"/>
      <c r="L87" s="44" t="str">
        <f t="shared" si="52"/>
        <v/>
      </c>
      <c r="M87" s="46">
        <f t="shared" si="53"/>
        <v>0.75</v>
      </c>
      <c r="N87" s="46"/>
      <c r="O87" s="41">
        <f t="shared" si="50"/>
        <v>0</v>
      </c>
      <c r="P87" s="42">
        <v>47000</v>
      </c>
      <c r="Q87" s="44" t="s">
        <v>3</v>
      </c>
      <c r="R87" s="28" t="s">
        <v>55</v>
      </c>
      <c r="S87" s="48">
        <f t="shared" si="5"/>
        <v>329000</v>
      </c>
      <c r="T87" s="48">
        <f t="shared" si="46"/>
        <v>0</v>
      </c>
      <c r="W87" s="28">
        <v>937</v>
      </c>
      <c r="X87" s="105">
        <v>1.4</v>
      </c>
      <c r="Y87" s="105">
        <v>9.33</v>
      </c>
      <c r="Z87" s="73" t="s">
        <v>1254</v>
      </c>
      <c r="AA87" s="28">
        <v>0</v>
      </c>
    </row>
    <row r="88" spans="1:27" x14ac:dyDescent="0.25">
      <c r="A88" s="4"/>
      <c r="B88" s="62" t="s">
        <v>1200</v>
      </c>
      <c r="C88" s="75" t="s">
        <v>1201</v>
      </c>
      <c r="D88" s="28" t="s">
        <v>1202</v>
      </c>
      <c r="E88" s="28">
        <f t="shared" si="42"/>
        <v>92199</v>
      </c>
      <c r="F88" s="143" t="str">
        <f>INDEX(PV_Summary!$B$18:$B$118,MATCH($E88,PV_Summary!$A$18:$A$118,0))</f>
        <v>N</v>
      </c>
      <c r="G88" s="123">
        <v>32.983550999999999</v>
      </c>
      <c r="H88" s="61">
        <v>-117.079679</v>
      </c>
      <c r="I88" s="44" t="s">
        <v>218</v>
      </c>
      <c r="J88" s="46">
        <f t="shared" ca="1" si="51"/>
        <v>1.5</v>
      </c>
      <c r="K88" s="100"/>
      <c r="L88" s="44" t="str">
        <f t="shared" ca="1" si="52"/>
        <v>Total</v>
      </c>
      <c r="M88" s="46">
        <f t="shared" ca="1" si="53"/>
        <v>1.25</v>
      </c>
      <c r="N88" s="46"/>
      <c r="O88" s="41">
        <f t="shared" ca="1" si="50"/>
        <v>9</v>
      </c>
      <c r="Q88" s="44"/>
      <c r="S88" s="48">
        <f t="shared" si="5"/>
        <v>0</v>
      </c>
      <c r="T88" s="48">
        <f t="shared" ca="1" si="46"/>
        <v>5748000</v>
      </c>
      <c r="W88" s="28">
        <v>936</v>
      </c>
      <c r="X88" s="105">
        <v>1.38</v>
      </c>
      <c r="Y88" s="105">
        <v>9.23</v>
      </c>
      <c r="Z88" s="73" t="s">
        <v>1254</v>
      </c>
      <c r="AA88" s="28"/>
    </row>
    <row r="89" spans="1:27" x14ac:dyDescent="0.25">
      <c r="A89" s="4"/>
      <c r="B89" s="98" t="s">
        <v>1203</v>
      </c>
      <c r="C89" s="75" t="s">
        <v>1201</v>
      </c>
      <c r="D89" s="28" t="s">
        <v>1202</v>
      </c>
      <c r="E89" s="28">
        <f t="shared" ref="E89:E95" si="54">RIGHT(TRIM(D89),5)*1</f>
        <v>92199</v>
      </c>
      <c r="F89" s="143" t="str">
        <f>INDEX(PV_Summary!$B$18:$B$118,MATCH($E89,PV_Summary!$A$18:$A$118,0))</f>
        <v>N</v>
      </c>
      <c r="G89" s="123">
        <v>32.984904999999998</v>
      </c>
      <c r="H89" s="61">
        <v>-117.078982</v>
      </c>
      <c r="I89" s="44" t="s">
        <v>37</v>
      </c>
      <c r="J89" s="46">
        <f t="shared" si="51"/>
        <v>0.75</v>
      </c>
      <c r="K89" s="100"/>
      <c r="L89" s="44" t="str">
        <f t="shared" si="52"/>
        <v/>
      </c>
      <c r="M89" s="46">
        <f t="shared" si="53"/>
        <v>0.75</v>
      </c>
      <c r="N89" s="46"/>
      <c r="O89" s="41">
        <f t="shared" si="50"/>
        <v>0</v>
      </c>
      <c r="P89" s="42">
        <v>72000</v>
      </c>
      <c r="Q89" s="44" t="s">
        <v>37</v>
      </c>
      <c r="R89" s="28" t="s">
        <v>56</v>
      </c>
      <c r="S89" s="48">
        <f t="shared" si="5"/>
        <v>432000</v>
      </c>
      <c r="T89" s="48">
        <f t="shared" si="46"/>
        <v>0</v>
      </c>
      <c r="W89" s="28">
        <v>930</v>
      </c>
      <c r="X89" s="105">
        <v>1.03</v>
      </c>
      <c r="Y89" s="105">
        <v>6.85</v>
      </c>
      <c r="Z89" s="73" t="s">
        <v>1254</v>
      </c>
      <c r="AA89" s="28">
        <v>0</v>
      </c>
    </row>
    <row r="90" spans="1:27" x14ac:dyDescent="0.25">
      <c r="A90" s="4"/>
      <c r="B90" s="98" t="s">
        <v>1204</v>
      </c>
      <c r="C90" s="75" t="s">
        <v>1201</v>
      </c>
      <c r="D90" s="28" t="s">
        <v>1202</v>
      </c>
      <c r="E90" s="28">
        <f t="shared" si="54"/>
        <v>92199</v>
      </c>
      <c r="F90" s="143" t="str">
        <f>INDEX(PV_Summary!$B$18:$B$118,MATCH($E90,PV_Summary!$A$18:$A$118,0))</f>
        <v>N</v>
      </c>
      <c r="G90" s="123">
        <v>32.984966</v>
      </c>
      <c r="H90" s="61">
        <v>-117.080443</v>
      </c>
      <c r="I90" s="44" t="s">
        <v>37</v>
      </c>
      <c r="J90" s="46">
        <f t="shared" ref="J90:J96" si="55">IF(O90&gt;1,Sym_Scl_Aggr_Parent,IF(O90&lt;1,Sym_Scl_Aggr_Child,Sym_Scl_Normal))</f>
        <v>0.75</v>
      </c>
      <c r="K90" s="100"/>
      <c r="L90" s="44" t="str">
        <f t="shared" ref="L90:L96" si="56">IF(O90&gt;1,"Total","")</f>
        <v/>
      </c>
      <c r="M90" s="46">
        <f t="shared" ref="M90:M96" si="57">IF(O90&gt;1,Label_Scl_Aggr_Parent,IF(O90&lt;1,Label_Scl_Aggr_Child,Label_Scl_Normal))</f>
        <v>0.75</v>
      </c>
      <c r="N90" s="46"/>
      <c r="O90" s="41">
        <f t="shared" si="50"/>
        <v>0</v>
      </c>
      <c r="P90" s="42">
        <v>65000</v>
      </c>
      <c r="Q90" s="44" t="s">
        <v>37</v>
      </c>
      <c r="R90" s="28" t="s">
        <v>55</v>
      </c>
      <c r="S90" s="48">
        <f t="shared" si="5"/>
        <v>455000</v>
      </c>
      <c r="T90" s="48">
        <f t="shared" si="46"/>
        <v>0</v>
      </c>
      <c r="W90" s="28">
        <v>936</v>
      </c>
      <c r="X90" s="105">
        <v>1.38</v>
      </c>
      <c r="Y90" s="105">
        <v>9.23</v>
      </c>
      <c r="Z90" s="73" t="s">
        <v>1254</v>
      </c>
      <c r="AA90" s="28">
        <v>0</v>
      </c>
    </row>
    <row r="91" spans="1:27" x14ac:dyDescent="0.25">
      <c r="A91" s="4"/>
      <c r="B91" s="98" t="s">
        <v>1205</v>
      </c>
      <c r="C91" s="75" t="s">
        <v>1201</v>
      </c>
      <c r="D91" s="28" t="s">
        <v>1202</v>
      </c>
      <c r="E91" s="28">
        <f t="shared" si="54"/>
        <v>92199</v>
      </c>
      <c r="F91" s="143" t="str">
        <f>INDEX(PV_Summary!$B$18:$B$118,MATCH($E91,PV_Summary!$A$18:$A$118,0))</f>
        <v>N</v>
      </c>
      <c r="G91" s="123">
        <v>32.984371000000003</v>
      </c>
      <c r="H91" s="61">
        <v>-117.080838</v>
      </c>
      <c r="I91" s="44" t="s">
        <v>37</v>
      </c>
      <c r="J91" s="46">
        <f t="shared" si="55"/>
        <v>0.75</v>
      </c>
      <c r="K91" s="100"/>
      <c r="L91" s="44" t="str">
        <f t="shared" si="56"/>
        <v/>
      </c>
      <c r="M91" s="46">
        <f t="shared" si="57"/>
        <v>0.75</v>
      </c>
      <c r="N91" s="46"/>
      <c r="O91" s="41">
        <f t="shared" si="50"/>
        <v>0</v>
      </c>
      <c r="P91" s="42">
        <v>141000</v>
      </c>
      <c r="Q91" s="44" t="s">
        <v>37</v>
      </c>
      <c r="R91" s="28" t="s">
        <v>56</v>
      </c>
      <c r="S91" s="48">
        <f t="shared" si="5"/>
        <v>846000</v>
      </c>
      <c r="T91" s="48">
        <f t="shared" si="46"/>
        <v>0</v>
      </c>
      <c r="W91" s="28">
        <v>936</v>
      </c>
      <c r="X91" s="105">
        <v>1.38</v>
      </c>
      <c r="Y91" s="105">
        <v>9.23</v>
      </c>
      <c r="Z91" s="73" t="s">
        <v>1254</v>
      </c>
      <c r="AA91" s="28">
        <v>0</v>
      </c>
    </row>
    <row r="92" spans="1:27" x14ac:dyDescent="0.25">
      <c r="A92" s="4"/>
      <c r="B92" s="98" t="s">
        <v>1206</v>
      </c>
      <c r="C92" s="75" t="s">
        <v>1201</v>
      </c>
      <c r="D92" s="28" t="s">
        <v>1202</v>
      </c>
      <c r="E92" s="28">
        <f t="shared" si="54"/>
        <v>92199</v>
      </c>
      <c r="F92" s="143" t="str">
        <f>INDEX(PV_Summary!$B$18:$B$118,MATCH($E92,PV_Summary!$A$18:$A$118,0))</f>
        <v>N</v>
      </c>
      <c r="G92" s="123">
        <v>32.983722</v>
      </c>
      <c r="H92" s="61">
        <v>-117.081177</v>
      </c>
      <c r="I92" s="44" t="s">
        <v>37</v>
      </c>
      <c r="J92" s="46">
        <f t="shared" si="55"/>
        <v>0.75</v>
      </c>
      <c r="K92" s="100"/>
      <c r="L92" s="44" t="str">
        <f t="shared" si="56"/>
        <v/>
      </c>
      <c r="M92" s="46">
        <f t="shared" si="57"/>
        <v>0.75</v>
      </c>
      <c r="N92" s="46"/>
      <c r="O92" s="41">
        <f t="shared" si="50"/>
        <v>0</v>
      </c>
      <c r="P92" s="42">
        <v>125000</v>
      </c>
      <c r="Q92" s="44" t="s">
        <v>37</v>
      </c>
      <c r="R92" s="28" t="s">
        <v>56</v>
      </c>
      <c r="S92" s="48">
        <f t="shared" si="5"/>
        <v>750000</v>
      </c>
      <c r="T92" s="48">
        <f t="shared" si="46"/>
        <v>0</v>
      </c>
      <c r="W92" s="28">
        <v>936</v>
      </c>
      <c r="X92" s="105">
        <v>1.38</v>
      </c>
      <c r="Y92" s="105">
        <v>9.23</v>
      </c>
      <c r="Z92" s="73" t="s">
        <v>1254</v>
      </c>
      <c r="AA92" s="28">
        <v>0</v>
      </c>
    </row>
    <row r="93" spans="1:27" x14ac:dyDescent="0.25">
      <c r="A93" s="4"/>
      <c r="B93" s="98" t="s">
        <v>1207</v>
      </c>
      <c r="C93" s="75" t="s">
        <v>1201</v>
      </c>
      <c r="D93" s="28" t="s">
        <v>1202</v>
      </c>
      <c r="E93" s="28">
        <f t="shared" si="54"/>
        <v>92199</v>
      </c>
      <c r="F93" s="143" t="str">
        <f>INDEX(PV_Summary!$B$18:$B$118,MATCH($E93,PV_Summary!$A$18:$A$118,0))</f>
        <v>N</v>
      </c>
      <c r="G93" s="123">
        <v>32.983162</v>
      </c>
      <c r="H93" s="61">
        <v>-117.08134800000001</v>
      </c>
      <c r="I93" s="44" t="s">
        <v>37</v>
      </c>
      <c r="J93" s="46">
        <f t="shared" si="55"/>
        <v>0.75</v>
      </c>
      <c r="K93" s="100"/>
      <c r="L93" s="44" t="str">
        <f t="shared" si="56"/>
        <v/>
      </c>
      <c r="M93" s="46">
        <f t="shared" si="57"/>
        <v>0.75</v>
      </c>
      <c r="N93" s="46"/>
      <c r="O93" s="41">
        <f t="shared" si="50"/>
        <v>0</v>
      </c>
      <c r="P93" s="42">
        <v>95000</v>
      </c>
      <c r="Q93" s="44" t="s">
        <v>37</v>
      </c>
      <c r="R93" s="28" t="s">
        <v>56</v>
      </c>
      <c r="S93" s="48">
        <f t="shared" si="5"/>
        <v>570000</v>
      </c>
      <c r="T93" s="48">
        <f t="shared" si="46"/>
        <v>0</v>
      </c>
      <c r="W93" s="28">
        <v>936</v>
      </c>
      <c r="X93" s="105">
        <v>1.38</v>
      </c>
      <c r="Y93" s="105">
        <v>9.23</v>
      </c>
      <c r="Z93" s="73" t="s">
        <v>1254</v>
      </c>
      <c r="AA93" s="28">
        <v>0</v>
      </c>
    </row>
    <row r="94" spans="1:27" x14ac:dyDescent="0.25">
      <c r="A94" s="4"/>
      <c r="B94" s="98" t="s">
        <v>1208</v>
      </c>
      <c r="C94" s="75" t="s">
        <v>1201</v>
      </c>
      <c r="D94" s="28" t="s">
        <v>1202</v>
      </c>
      <c r="E94" s="28">
        <f t="shared" si="54"/>
        <v>92199</v>
      </c>
      <c r="F94" s="143" t="str">
        <f>INDEX(PV_Summary!$B$18:$B$118,MATCH($E94,PV_Summary!$A$18:$A$118,0))</f>
        <v>N</v>
      </c>
      <c r="G94" s="123">
        <v>32.986395999999999</v>
      </c>
      <c r="H94" s="61">
        <v>-117.08005799999999</v>
      </c>
      <c r="I94" s="44" t="s">
        <v>3</v>
      </c>
      <c r="J94" s="46">
        <f t="shared" si="55"/>
        <v>0.75</v>
      </c>
      <c r="K94" s="100"/>
      <c r="L94" s="44" t="str">
        <f t="shared" si="56"/>
        <v/>
      </c>
      <c r="M94" s="46">
        <f t="shared" si="57"/>
        <v>0.75</v>
      </c>
      <c r="N94" s="46"/>
      <c r="O94" s="41">
        <f t="shared" si="50"/>
        <v>0</v>
      </c>
      <c r="P94" s="42">
        <v>199000</v>
      </c>
      <c r="Q94" s="44" t="s">
        <v>3</v>
      </c>
      <c r="R94" s="28" t="s">
        <v>55</v>
      </c>
      <c r="S94" s="48">
        <f t="shared" si="5"/>
        <v>1393000</v>
      </c>
      <c r="T94" s="48">
        <f t="shared" si="46"/>
        <v>0</v>
      </c>
      <c r="W94" s="28">
        <v>930</v>
      </c>
      <c r="X94" s="105">
        <v>1.03</v>
      </c>
      <c r="Y94" s="105">
        <v>6.85</v>
      </c>
      <c r="Z94" s="73" t="s">
        <v>1254</v>
      </c>
      <c r="AA94" s="28">
        <v>100</v>
      </c>
    </row>
    <row r="95" spans="1:27" x14ac:dyDescent="0.25">
      <c r="A95" s="4"/>
      <c r="B95" s="98" t="s">
        <v>1209</v>
      </c>
      <c r="C95" s="75" t="s">
        <v>1201</v>
      </c>
      <c r="D95" s="28" t="s">
        <v>1202</v>
      </c>
      <c r="E95" s="28">
        <f t="shared" si="54"/>
        <v>92199</v>
      </c>
      <c r="F95" s="143" t="str">
        <f>INDEX(PV_Summary!$B$18:$B$118,MATCH($E95,PV_Summary!$A$18:$A$118,0))</f>
        <v>N</v>
      </c>
      <c r="G95" s="123">
        <v>32.985460000000003</v>
      </c>
      <c r="H95" s="61">
        <v>-117.080699</v>
      </c>
      <c r="I95" s="44" t="s">
        <v>3</v>
      </c>
      <c r="J95" s="46">
        <f t="shared" si="55"/>
        <v>0.75</v>
      </c>
      <c r="K95" s="100"/>
      <c r="L95" s="44" t="str">
        <f t="shared" si="56"/>
        <v/>
      </c>
      <c r="M95" s="46">
        <f t="shared" si="57"/>
        <v>0.75</v>
      </c>
      <c r="N95" s="46"/>
      <c r="O95" s="41">
        <f t="shared" si="50"/>
        <v>0</v>
      </c>
      <c r="P95" s="42">
        <v>133000</v>
      </c>
      <c r="Q95" s="44" t="s">
        <v>3</v>
      </c>
      <c r="R95" s="28" t="s">
        <v>55</v>
      </c>
      <c r="S95" s="48">
        <f t="shared" si="5"/>
        <v>931000</v>
      </c>
      <c r="T95" s="48">
        <f t="shared" si="46"/>
        <v>0</v>
      </c>
      <c r="W95" s="28">
        <v>930</v>
      </c>
      <c r="X95" s="105">
        <v>1.03</v>
      </c>
      <c r="Y95" s="105">
        <v>6.85</v>
      </c>
      <c r="Z95" s="73" t="s">
        <v>1254</v>
      </c>
      <c r="AA95" s="28">
        <v>100</v>
      </c>
    </row>
    <row r="96" spans="1:27" x14ac:dyDescent="0.25">
      <c r="A96" s="4"/>
      <c r="B96" s="98" t="s">
        <v>1210</v>
      </c>
      <c r="C96" s="75" t="s">
        <v>1201</v>
      </c>
      <c r="D96" s="28" t="s">
        <v>1202</v>
      </c>
      <c r="E96" s="28">
        <f t="shared" ref="E96" si="58">RIGHT(TRIM(D96),5)*1</f>
        <v>92199</v>
      </c>
      <c r="F96" s="143" t="str">
        <f>INDEX(PV_Summary!$B$18:$B$118,MATCH($E96,PV_Summary!$A$18:$A$118,0))</f>
        <v>N</v>
      </c>
      <c r="G96" s="123">
        <v>32.982441999999999</v>
      </c>
      <c r="H96" s="61">
        <v>-117.08188699999999</v>
      </c>
      <c r="I96" s="44" t="s">
        <v>3</v>
      </c>
      <c r="J96" s="46">
        <f t="shared" si="55"/>
        <v>0.75</v>
      </c>
      <c r="K96" s="100"/>
      <c r="L96" s="44" t="str">
        <f t="shared" si="56"/>
        <v/>
      </c>
      <c r="M96" s="46">
        <f t="shared" si="57"/>
        <v>0.75</v>
      </c>
      <c r="N96" s="46"/>
      <c r="O96" s="41">
        <f t="shared" si="50"/>
        <v>0</v>
      </c>
      <c r="P96" s="42">
        <v>53000</v>
      </c>
      <c r="Q96" s="44" t="s">
        <v>3</v>
      </c>
      <c r="R96" s="28" t="s">
        <v>55</v>
      </c>
      <c r="S96" s="48">
        <f t="shared" si="5"/>
        <v>371000</v>
      </c>
      <c r="T96" s="48">
        <f t="shared" si="46"/>
        <v>0</v>
      </c>
      <c r="W96" s="28">
        <v>936</v>
      </c>
      <c r="X96" s="105">
        <v>1.38</v>
      </c>
      <c r="Y96" s="105">
        <v>9.23</v>
      </c>
      <c r="Z96" s="73" t="s">
        <v>1254</v>
      </c>
      <c r="AA96" s="28">
        <v>100</v>
      </c>
    </row>
    <row r="97" spans="1:27" x14ac:dyDescent="0.25">
      <c r="A97" s="4" t="s">
        <v>1243</v>
      </c>
      <c r="B97" s="28" t="s">
        <v>1240</v>
      </c>
      <c r="C97" s="75" t="s">
        <v>1241</v>
      </c>
      <c r="D97" s="28" t="s">
        <v>1242</v>
      </c>
      <c r="E97" s="28">
        <f t="shared" ref="E97:E106" si="59">RIGHT(TRIM(D97),5)*1</f>
        <v>92121</v>
      </c>
      <c r="F97" s="143" t="str">
        <f>INDEX(PV_Summary!$B$18:$B$118,MATCH($E97,PV_Summary!$A$18:$A$118,0))</f>
        <v>N</v>
      </c>
      <c r="G97" s="123">
        <v>32.893617999999996</v>
      </c>
      <c r="H97" s="61">
        <v>-117.234661</v>
      </c>
      <c r="I97" s="44" t="s">
        <v>69</v>
      </c>
      <c r="J97" s="46">
        <f ca="1">IF(O97&gt;1,Sym_Scl_Aggr_Parent,IF(O97&lt;1,Sym_Scl_Aggr_Child,Sym_Scl_Normal))</f>
        <v>1.5</v>
      </c>
      <c r="K97" s="100"/>
      <c r="L97" s="44" t="str">
        <f ca="1">IF(O97&gt;1,"Total","")</f>
        <v>Total</v>
      </c>
      <c r="M97" s="46">
        <f ca="1">IF(O97&gt;1,Label_Scl_Aggr_Parent,IF(O97&lt;1,Label_Scl_Aggr_Child,Label_Scl_Normal))</f>
        <v>1.25</v>
      </c>
      <c r="N97" s="46"/>
      <c r="O97" s="41">
        <f t="shared" ca="1" si="50"/>
        <v>5</v>
      </c>
      <c r="Q97" s="44"/>
      <c r="S97" s="48">
        <f t="shared" ref="S97:S150" si="60">IF(ISNUMBER(FIND("Existing",$Q97)),0,IF($P97=0,0,INDEX(PV_W_Type_Rating_Tbl,MATCH($Q97,PV_Type_List,0),MATCH($R97,Rating_List,0)+4*DC_AC_Num)*$P97))</f>
        <v>0</v>
      </c>
      <c r="T97" s="48">
        <f t="shared" ca="1" si="46"/>
        <v>1260000</v>
      </c>
      <c r="W97" s="28">
        <v>737</v>
      </c>
      <c r="X97" s="105">
        <v>1.5</v>
      </c>
      <c r="Y97" s="105">
        <v>10</v>
      </c>
      <c r="Z97" s="73" t="s">
        <v>469</v>
      </c>
      <c r="AA97" s="28"/>
    </row>
    <row r="98" spans="1:27" x14ac:dyDescent="0.25">
      <c r="A98" s="4"/>
      <c r="B98" s="98" t="s">
        <v>1244</v>
      </c>
      <c r="C98" s="75" t="s">
        <v>1241</v>
      </c>
      <c r="D98" s="28" t="s">
        <v>1242</v>
      </c>
      <c r="E98" s="28">
        <f t="shared" si="59"/>
        <v>92121</v>
      </c>
      <c r="F98" s="143" t="str">
        <f>INDEX(PV_Summary!$B$18:$B$118,MATCH($E98,PV_Summary!$A$18:$A$118,0))</f>
        <v>N</v>
      </c>
      <c r="G98" s="123">
        <v>32.893605000000001</v>
      </c>
      <c r="H98" s="61">
        <v>-117.233836</v>
      </c>
      <c r="I98" s="44" t="s">
        <v>37</v>
      </c>
      <c r="J98" s="46">
        <f t="shared" ref="J98:J101" si="61">IF(O98&gt;1,Sym_Scl_Aggr_Parent,IF(O98&lt;1,Sym_Scl_Aggr_Child,Sym_Scl_Normal))</f>
        <v>0.75</v>
      </c>
      <c r="K98" s="100"/>
      <c r="L98" s="44" t="str">
        <f t="shared" ref="L98:L101" si="62">IF(O98&gt;1,"Total","")</f>
        <v/>
      </c>
      <c r="M98" s="46">
        <f t="shared" ref="M98:M101" si="63">IF(O98&gt;1,Label_Scl_Aggr_Parent,IF(O98&lt;1,Label_Scl_Aggr_Child,Label_Scl_Normal))</f>
        <v>0.75</v>
      </c>
      <c r="N98" s="46"/>
      <c r="O98" s="41">
        <f t="shared" si="50"/>
        <v>0</v>
      </c>
      <c r="P98" s="42">
        <v>41000</v>
      </c>
      <c r="Q98" s="44" t="s">
        <v>37</v>
      </c>
      <c r="R98" s="28" t="s">
        <v>55</v>
      </c>
      <c r="S98" s="48">
        <f t="shared" si="60"/>
        <v>287000</v>
      </c>
      <c r="T98" s="48">
        <f t="shared" si="46"/>
        <v>0</v>
      </c>
      <c r="U98" s="28" t="s">
        <v>1248</v>
      </c>
      <c r="W98" s="28">
        <v>737</v>
      </c>
      <c r="X98" s="105">
        <v>1.5</v>
      </c>
      <c r="Y98" s="105">
        <v>10</v>
      </c>
      <c r="Z98" s="73" t="s">
        <v>469</v>
      </c>
      <c r="AA98" s="28">
        <v>0</v>
      </c>
    </row>
    <row r="99" spans="1:27" x14ac:dyDescent="0.25">
      <c r="A99" s="4"/>
      <c r="B99" s="98" t="s">
        <v>1245</v>
      </c>
      <c r="C99" s="75" t="s">
        <v>1241</v>
      </c>
      <c r="D99" s="28" t="s">
        <v>1242</v>
      </c>
      <c r="E99" s="28">
        <f t="shared" si="59"/>
        <v>92121</v>
      </c>
      <c r="F99" s="143" t="str">
        <f>INDEX(PV_Summary!$B$18:$B$118,MATCH($E99,PV_Summary!$A$18:$A$118,0))</f>
        <v>N</v>
      </c>
      <c r="G99" s="123">
        <v>32.894838</v>
      </c>
      <c r="H99" s="61">
        <v>-117.235401</v>
      </c>
      <c r="I99" s="44" t="s">
        <v>3</v>
      </c>
      <c r="J99" s="46">
        <f t="shared" si="61"/>
        <v>0.75</v>
      </c>
      <c r="K99" s="100"/>
      <c r="L99" s="44" t="str">
        <f t="shared" si="62"/>
        <v/>
      </c>
      <c r="M99" s="46">
        <f t="shared" si="63"/>
        <v>0.75</v>
      </c>
      <c r="N99" s="46"/>
      <c r="O99" s="41">
        <f t="shared" si="50"/>
        <v>0</v>
      </c>
      <c r="P99" s="42">
        <v>32000</v>
      </c>
      <c r="Q99" s="44" t="s">
        <v>3</v>
      </c>
      <c r="R99" s="28" t="s">
        <v>55</v>
      </c>
      <c r="S99" s="48">
        <f t="shared" si="60"/>
        <v>224000</v>
      </c>
      <c r="T99" s="48">
        <f t="shared" si="46"/>
        <v>0</v>
      </c>
      <c r="W99" s="28">
        <v>737</v>
      </c>
      <c r="X99" s="105">
        <v>1.5</v>
      </c>
      <c r="Y99" s="105">
        <v>10</v>
      </c>
      <c r="Z99" s="73" t="s">
        <v>469</v>
      </c>
      <c r="AA99" s="28">
        <v>100</v>
      </c>
    </row>
    <row r="100" spans="1:27" x14ac:dyDescent="0.25">
      <c r="A100" s="4"/>
      <c r="B100" s="98" t="s">
        <v>1246</v>
      </c>
      <c r="C100" s="75" t="s">
        <v>1241</v>
      </c>
      <c r="D100" s="28" t="s">
        <v>1242</v>
      </c>
      <c r="E100" s="28">
        <f t="shared" si="59"/>
        <v>92121</v>
      </c>
      <c r="F100" s="143" t="str">
        <f>INDEX(PV_Summary!$B$18:$B$118,MATCH($E100,PV_Summary!$A$18:$A$118,0))</f>
        <v>N</v>
      </c>
      <c r="G100" s="123">
        <v>32.894010000000002</v>
      </c>
      <c r="H100" s="61">
        <v>-117.233541</v>
      </c>
      <c r="I100" s="44" t="s">
        <v>3</v>
      </c>
      <c r="J100" s="46">
        <f t="shared" si="61"/>
        <v>0.75</v>
      </c>
      <c r="K100" s="100"/>
      <c r="L100" s="44" t="str">
        <f t="shared" si="62"/>
        <v/>
      </c>
      <c r="M100" s="46">
        <f t="shared" si="63"/>
        <v>0.75</v>
      </c>
      <c r="N100" s="46"/>
      <c r="O100" s="41">
        <f t="shared" si="50"/>
        <v>0</v>
      </c>
      <c r="P100" s="42">
        <v>23000</v>
      </c>
      <c r="Q100" s="44" t="s">
        <v>3</v>
      </c>
      <c r="R100" s="28" t="s">
        <v>55</v>
      </c>
      <c r="S100" s="48">
        <f t="shared" si="60"/>
        <v>161000</v>
      </c>
      <c r="T100" s="48">
        <f t="shared" si="46"/>
        <v>0</v>
      </c>
      <c r="W100" s="28">
        <v>737</v>
      </c>
      <c r="X100" s="105">
        <v>1.5</v>
      </c>
      <c r="Y100" s="105">
        <v>10</v>
      </c>
      <c r="Z100" s="73" t="s">
        <v>469</v>
      </c>
      <c r="AA100" s="28">
        <v>100</v>
      </c>
    </row>
    <row r="101" spans="1:27" x14ac:dyDescent="0.25">
      <c r="A101" s="4"/>
      <c r="B101" s="98" t="s">
        <v>1247</v>
      </c>
      <c r="C101" s="75" t="s">
        <v>1241</v>
      </c>
      <c r="D101" s="28" t="s">
        <v>1242</v>
      </c>
      <c r="E101" s="28">
        <f t="shared" si="59"/>
        <v>92121</v>
      </c>
      <c r="F101" s="143" t="str">
        <f>INDEX(PV_Summary!$B$18:$B$118,MATCH($E101,PV_Summary!$A$18:$A$118,0))</f>
        <v>N</v>
      </c>
      <c r="G101" s="123">
        <v>32.892564999999998</v>
      </c>
      <c r="H101" s="61">
        <v>-117.233935</v>
      </c>
      <c r="I101" s="44" t="s">
        <v>3</v>
      </c>
      <c r="J101" s="46">
        <f t="shared" si="61"/>
        <v>0.75</v>
      </c>
      <c r="K101" s="100"/>
      <c r="L101" s="44" t="str">
        <f t="shared" si="62"/>
        <v/>
      </c>
      <c r="M101" s="46">
        <f t="shared" si="63"/>
        <v>0.75</v>
      </c>
      <c r="N101" s="46"/>
      <c r="O101" s="41">
        <f t="shared" si="50"/>
        <v>0</v>
      </c>
      <c r="P101" s="42">
        <v>84000</v>
      </c>
      <c r="Q101" s="44" t="s">
        <v>3</v>
      </c>
      <c r="R101" s="28" t="s">
        <v>55</v>
      </c>
      <c r="S101" s="48">
        <f t="shared" si="60"/>
        <v>588000</v>
      </c>
      <c r="T101" s="48">
        <f t="shared" si="46"/>
        <v>0</v>
      </c>
      <c r="W101" s="28">
        <v>737</v>
      </c>
      <c r="X101" s="105">
        <v>1.5</v>
      </c>
      <c r="Y101" s="105">
        <v>10</v>
      </c>
      <c r="Z101" s="73" t="s">
        <v>469</v>
      </c>
      <c r="AA101" s="28">
        <v>0</v>
      </c>
    </row>
    <row r="102" spans="1:27" x14ac:dyDescent="0.25">
      <c r="A102" s="4"/>
      <c r="B102" s="62" t="s">
        <v>1484</v>
      </c>
      <c r="C102" s="75" t="s">
        <v>1485</v>
      </c>
      <c r="D102" s="28" t="s">
        <v>1242</v>
      </c>
      <c r="E102" s="28">
        <f t="shared" si="59"/>
        <v>92121</v>
      </c>
      <c r="F102" s="143" t="str">
        <f>INDEX(PV_Summary!$B$18:$B$118,MATCH($E102,PV_Summary!$A$18:$A$118,0))</f>
        <v>N</v>
      </c>
      <c r="G102" s="123">
        <v>32.895989</v>
      </c>
      <c r="H102" s="61">
        <v>-117.200462</v>
      </c>
      <c r="I102" s="44" t="s">
        <v>3</v>
      </c>
      <c r="J102" s="46">
        <f t="shared" ref="J102" ca="1" si="64">IF(O102&gt;1,Sym_Scl_Aggr_Parent,IF(O102&lt;1,Sym_Scl_Aggr_Child,Sym_Scl_Normal))</f>
        <v>1</v>
      </c>
      <c r="K102" s="100"/>
      <c r="L102" s="44" t="str">
        <f t="shared" ref="L102" ca="1" si="65">IF(O102&gt;1,"Total","")</f>
        <v/>
      </c>
      <c r="M102" s="46">
        <f t="shared" ref="M102" ca="1" si="66">IF(O102&gt;1,Label_Scl_Aggr_Parent,IF(O102&lt;1,Label_Scl_Aggr_Child,Label_Scl_Normal))</f>
        <v>1</v>
      </c>
      <c r="N102" s="46"/>
      <c r="O102" s="41">
        <f t="shared" ca="1" si="50"/>
        <v>1</v>
      </c>
      <c r="P102" s="42">
        <v>196000</v>
      </c>
      <c r="Q102" s="44" t="s">
        <v>3</v>
      </c>
      <c r="R102" s="28" t="s">
        <v>55</v>
      </c>
      <c r="S102" s="48">
        <f t="shared" si="60"/>
        <v>1372000</v>
      </c>
      <c r="T102" s="48">
        <f t="shared" ca="1" si="46"/>
        <v>1372000</v>
      </c>
      <c r="W102" s="28">
        <v>969</v>
      </c>
      <c r="X102" s="105">
        <v>1.5</v>
      </c>
      <c r="Y102" s="105">
        <v>10</v>
      </c>
      <c r="Z102" s="73" t="s">
        <v>1352</v>
      </c>
      <c r="AA102" s="28">
        <v>600</v>
      </c>
    </row>
    <row r="103" spans="1:27" x14ac:dyDescent="0.25">
      <c r="A103" s="4"/>
      <c r="B103" s="62" t="s">
        <v>1486</v>
      </c>
      <c r="C103" s="75" t="s">
        <v>1487</v>
      </c>
      <c r="D103" s="28" t="s">
        <v>1242</v>
      </c>
      <c r="E103" s="28">
        <f t="shared" si="59"/>
        <v>92121</v>
      </c>
      <c r="F103" s="143" t="str">
        <f>INDEX(PV_Summary!$B$18:$B$118,MATCH($E103,PV_Summary!$A$18:$A$118,0))</f>
        <v>N</v>
      </c>
      <c r="G103" s="123">
        <v>32.904229000000001</v>
      </c>
      <c r="H103" s="61">
        <v>-117.184442</v>
      </c>
      <c r="I103" s="44" t="s">
        <v>3</v>
      </c>
      <c r="J103" s="46">
        <f t="shared" ref="J103:J104" ca="1" si="67">IF(O103&gt;1,Sym_Scl_Aggr_Parent,IF(O103&lt;1,Sym_Scl_Aggr_Child,Sym_Scl_Normal))</f>
        <v>1</v>
      </c>
      <c r="K103" s="100"/>
      <c r="L103" s="44" t="str">
        <f t="shared" ref="L103:L104" ca="1" si="68">IF(O103&gt;1,"Total","")</f>
        <v/>
      </c>
      <c r="M103" s="46">
        <f t="shared" ref="M103:M104" ca="1" si="69">IF(O103&gt;1,Label_Scl_Aggr_Parent,IF(O103&lt;1,Label_Scl_Aggr_Child,Label_Scl_Normal))</f>
        <v>1</v>
      </c>
      <c r="N103" s="46"/>
      <c r="O103" s="41">
        <f t="shared" ca="1" si="50"/>
        <v>1</v>
      </c>
      <c r="P103" s="42">
        <v>153000</v>
      </c>
      <c r="Q103" s="44" t="s">
        <v>3</v>
      </c>
      <c r="R103" s="28" t="s">
        <v>55</v>
      </c>
      <c r="S103" s="48">
        <f t="shared" si="60"/>
        <v>1071000</v>
      </c>
      <c r="T103" s="48">
        <f t="shared" ca="1" si="46"/>
        <v>1071000</v>
      </c>
      <c r="W103" s="28">
        <v>962</v>
      </c>
      <c r="X103" s="105">
        <v>1.41</v>
      </c>
      <c r="Y103" s="105">
        <v>9.3699999999999992</v>
      </c>
      <c r="Z103" s="73" t="s">
        <v>466</v>
      </c>
      <c r="AA103" s="28"/>
    </row>
    <row r="104" spans="1:27" x14ac:dyDescent="0.25">
      <c r="A104" s="4"/>
      <c r="B104" s="62" t="s">
        <v>1301</v>
      </c>
      <c r="C104" s="75" t="s">
        <v>1302</v>
      </c>
      <c r="D104" s="28" t="s">
        <v>1242</v>
      </c>
      <c r="E104" s="28">
        <f t="shared" si="59"/>
        <v>92121</v>
      </c>
      <c r="F104" s="143" t="str">
        <f>INDEX(PV_Summary!$B$18:$B$118,MATCH($E104,PV_Summary!$A$18:$A$118,0))</f>
        <v>N</v>
      </c>
      <c r="G104" s="123">
        <v>32.886750599999999</v>
      </c>
      <c r="H104" s="61">
        <v>-117.1957044</v>
      </c>
      <c r="I104" s="44" t="s">
        <v>37</v>
      </c>
      <c r="J104" s="46">
        <f t="shared" ca="1" si="67"/>
        <v>1</v>
      </c>
      <c r="K104" s="100"/>
      <c r="L104" s="44" t="str">
        <f t="shared" ca="1" si="68"/>
        <v/>
      </c>
      <c r="M104" s="46">
        <f t="shared" ca="1" si="69"/>
        <v>1</v>
      </c>
      <c r="N104" s="46"/>
      <c r="O104" s="41">
        <f t="shared" ca="1" si="50"/>
        <v>1</v>
      </c>
      <c r="P104" s="42">
        <v>200000</v>
      </c>
      <c r="Q104" s="44" t="s">
        <v>37</v>
      </c>
      <c r="R104" s="28" t="s">
        <v>56</v>
      </c>
      <c r="S104" s="48">
        <f t="shared" si="60"/>
        <v>1200000</v>
      </c>
      <c r="T104" s="48">
        <f t="shared" ca="1" si="46"/>
        <v>1200000</v>
      </c>
      <c r="W104" s="28">
        <v>968</v>
      </c>
      <c r="X104" s="105">
        <v>1.49</v>
      </c>
      <c r="Y104" s="105">
        <v>9.91</v>
      </c>
      <c r="Z104" s="73" t="s">
        <v>1352</v>
      </c>
      <c r="AA104" s="28">
        <v>50</v>
      </c>
    </row>
    <row r="105" spans="1:27" x14ac:dyDescent="0.25">
      <c r="A105" s="4"/>
      <c r="B105" s="62" t="s">
        <v>1506</v>
      </c>
      <c r="C105" s="75" t="s">
        <v>1507</v>
      </c>
      <c r="D105" s="28" t="s">
        <v>1242</v>
      </c>
      <c r="E105" s="28">
        <f t="shared" si="59"/>
        <v>92121</v>
      </c>
      <c r="F105" s="143" t="str">
        <f>INDEX(PV_Summary!$B$18:$B$118,MATCH($E105,PV_Summary!$A$18:$A$118,0))</f>
        <v>N</v>
      </c>
      <c r="G105" s="123">
        <v>32.884008999999999</v>
      </c>
      <c r="H105" s="61">
        <v>-117.173579</v>
      </c>
      <c r="I105" s="44" t="s">
        <v>37</v>
      </c>
      <c r="J105" s="46">
        <f t="shared" ref="J105:J106" ca="1" si="70">IF(O105&gt;1,Sym_Scl_Aggr_Parent,IF(O105&lt;1,Sym_Scl_Aggr_Child,Sym_Scl_Normal))</f>
        <v>1</v>
      </c>
      <c r="K105" s="100"/>
      <c r="L105" s="44" t="str">
        <f t="shared" ref="L105:L106" ca="1" si="71">IF(O105&gt;1,"Total","")</f>
        <v/>
      </c>
      <c r="M105" s="46">
        <f t="shared" ref="M105:M106" ca="1" si="72">IF(O105&gt;1,Label_Scl_Aggr_Parent,IF(O105&lt;1,Label_Scl_Aggr_Child,Label_Scl_Normal))</f>
        <v>1</v>
      </c>
      <c r="N105" s="46"/>
      <c r="O105" s="41">
        <f t="shared" ca="1" si="50"/>
        <v>1</v>
      </c>
      <c r="P105" s="42">
        <v>150000</v>
      </c>
      <c r="Q105" s="44" t="s">
        <v>37</v>
      </c>
      <c r="R105" s="28" t="s">
        <v>55</v>
      </c>
      <c r="S105" s="48">
        <f t="shared" si="60"/>
        <v>1050000</v>
      </c>
      <c r="T105" s="48">
        <f t="shared" ca="1" si="46"/>
        <v>1050000</v>
      </c>
      <c r="W105" s="28"/>
      <c r="X105" s="105"/>
      <c r="Y105" s="105"/>
      <c r="Z105" s="73"/>
      <c r="AA105" s="28"/>
    </row>
    <row r="106" spans="1:27" x14ac:dyDescent="0.25">
      <c r="A106" s="4"/>
      <c r="B106" s="62" t="s">
        <v>1304</v>
      </c>
      <c r="C106" s="75" t="s">
        <v>1303</v>
      </c>
      <c r="D106" s="28" t="s">
        <v>1242</v>
      </c>
      <c r="E106" s="28">
        <f t="shared" si="59"/>
        <v>92121</v>
      </c>
      <c r="F106" s="143" t="str">
        <f>INDEX(PV_Summary!$B$18:$B$118,MATCH($E106,PV_Summary!$A$18:$A$118,0))</f>
        <v>N</v>
      </c>
      <c r="G106" s="123">
        <v>32.887611</v>
      </c>
      <c r="H106" s="61">
        <v>-117.16506</v>
      </c>
      <c r="I106" s="44" t="s">
        <v>69</v>
      </c>
      <c r="J106" s="46">
        <f t="shared" ca="1" si="70"/>
        <v>1.5</v>
      </c>
      <c r="K106" s="100"/>
      <c r="L106" s="44" t="str">
        <f t="shared" ca="1" si="71"/>
        <v>Total</v>
      </c>
      <c r="M106" s="46">
        <f t="shared" ca="1" si="72"/>
        <v>1.25</v>
      </c>
      <c r="N106" s="46"/>
      <c r="O106" s="41">
        <f t="shared" ca="1" si="50"/>
        <v>4</v>
      </c>
      <c r="Q106" s="44"/>
      <c r="S106" s="48">
        <f t="shared" si="60"/>
        <v>0</v>
      </c>
      <c r="T106" s="48">
        <f t="shared" ca="1" si="46"/>
        <v>2079000</v>
      </c>
      <c r="W106" s="28">
        <v>761</v>
      </c>
      <c r="X106" s="105">
        <v>1.43</v>
      </c>
      <c r="Y106" s="105">
        <v>9.5399999999999991</v>
      </c>
      <c r="Z106" s="73" t="s">
        <v>465</v>
      </c>
      <c r="AA106" s="28"/>
    </row>
    <row r="107" spans="1:27" x14ac:dyDescent="0.25">
      <c r="A107" s="4"/>
      <c r="B107" s="98" t="s">
        <v>1305</v>
      </c>
      <c r="C107" s="75" t="s">
        <v>1303</v>
      </c>
      <c r="D107" s="28" t="s">
        <v>1242</v>
      </c>
      <c r="E107" s="28">
        <f t="shared" ref="E107:E110" si="73">RIGHT(TRIM(D107),5)*1</f>
        <v>92121</v>
      </c>
      <c r="F107" s="143" t="str">
        <f>INDEX(PV_Summary!$B$18:$B$118,MATCH($E107,PV_Summary!$A$18:$A$118,0))</f>
        <v>N</v>
      </c>
      <c r="G107" s="123">
        <v>32.888058000000001</v>
      </c>
      <c r="H107" s="61">
        <v>-117.165004</v>
      </c>
      <c r="I107" s="44" t="s">
        <v>210</v>
      </c>
      <c r="J107" s="46">
        <f t="shared" ref="J107:J109" si="74">IF(O107&gt;1,Sym_Scl_Aggr_Parent,IF(O107&lt;1,Sym_Scl_Aggr_Child,Sym_Scl_Normal))</f>
        <v>0.75</v>
      </c>
      <c r="K107" s="100" t="s">
        <v>157</v>
      </c>
      <c r="L107" s="44" t="str">
        <f t="shared" ref="L107:L109" si="75">IF(O107&gt;1,"Total","")</f>
        <v/>
      </c>
      <c r="M107" s="46">
        <f t="shared" ref="M107:M109" si="76">IF(O107&gt;1,Label_Scl_Aggr_Parent,IF(O107&lt;1,Label_Scl_Aggr_Child,Label_Scl_Normal))</f>
        <v>0.75</v>
      </c>
      <c r="N107" s="46"/>
      <c r="O107" s="41">
        <f t="shared" si="50"/>
        <v>0</v>
      </c>
      <c r="Q107" s="44" t="s">
        <v>172</v>
      </c>
      <c r="S107" s="48">
        <f t="shared" si="60"/>
        <v>0</v>
      </c>
      <c r="T107" s="48">
        <f t="shared" si="46"/>
        <v>0</v>
      </c>
      <c r="W107" s="28">
        <v>761</v>
      </c>
      <c r="X107" s="105">
        <v>1.43</v>
      </c>
      <c r="Y107" s="105">
        <v>9.5399999999999991</v>
      </c>
      <c r="Z107" s="73" t="s">
        <v>465</v>
      </c>
      <c r="AA107" s="28">
        <v>150</v>
      </c>
    </row>
    <row r="108" spans="1:27" x14ac:dyDescent="0.25">
      <c r="A108" s="4"/>
      <c r="B108" s="98" t="s">
        <v>1306</v>
      </c>
      <c r="C108" s="75" t="s">
        <v>1303</v>
      </c>
      <c r="D108" s="28" t="s">
        <v>1242</v>
      </c>
      <c r="E108" s="28">
        <f t="shared" si="73"/>
        <v>92121</v>
      </c>
      <c r="F108" s="143" t="str">
        <f>INDEX(PV_Summary!$B$18:$B$118,MATCH($E108,PV_Summary!$A$18:$A$118,0))</f>
        <v>N</v>
      </c>
      <c r="G108" s="123">
        <v>32.887987000000003</v>
      </c>
      <c r="H108" s="61">
        <v>-117.166597</v>
      </c>
      <c r="I108" s="44" t="s">
        <v>37</v>
      </c>
      <c r="J108" s="46">
        <f t="shared" si="74"/>
        <v>0.75</v>
      </c>
      <c r="K108" s="100"/>
      <c r="L108" s="44" t="str">
        <f t="shared" si="75"/>
        <v/>
      </c>
      <c r="M108" s="46">
        <f t="shared" si="76"/>
        <v>0.75</v>
      </c>
      <c r="N108" s="46"/>
      <c r="O108" s="41">
        <f t="shared" si="50"/>
        <v>0</v>
      </c>
      <c r="P108" s="42">
        <v>80000</v>
      </c>
      <c r="Q108" s="44" t="s">
        <v>3</v>
      </c>
      <c r="R108" s="28" t="s">
        <v>55</v>
      </c>
      <c r="S108" s="48">
        <f t="shared" si="60"/>
        <v>560000</v>
      </c>
      <c r="T108" s="48">
        <f t="shared" si="46"/>
        <v>0</v>
      </c>
      <c r="W108" s="28">
        <v>761</v>
      </c>
      <c r="X108" s="105">
        <v>1.43</v>
      </c>
      <c r="Y108" s="105">
        <v>9.5399999999999991</v>
      </c>
      <c r="Z108" s="73" t="s">
        <v>465</v>
      </c>
      <c r="AA108" s="28">
        <v>150</v>
      </c>
    </row>
    <row r="109" spans="1:27" x14ac:dyDescent="0.25">
      <c r="A109" s="4"/>
      <c r="B109" s="98" t="s">
        <v>1307</v>
      </c>
      <c r="C109" s="75" t="s">
        <v>1303</v>
      </c>
      <c r="D109" s="28" t="s">
        <v>1242</v>
      </c>
      <c r="E109" s="28">
        <f t="shared" si="73"/>
        <v>92121</v>
      </c>
      <c r="F109" s="143" t="str">
        <f>INDEX(PV_Summary!$B$18:$B$118,MATCH($E109,PV_Summary!$A$18:$A$118,0))</f>
        <v>N</v>
      </c>
      <c r="G109" s="123">
        <v>32.888041999999999</v>
      </c>
      <c r="H109" s="61">
        <v>-117.162898</v>
      </c>
      <c r="I109" s="44" t="s">
        <v>37</v>
      </c>
      <c r="J109" s="46">
        <f t="shared" si="74"/>
        <v>0.75</v>
      </c>
      <c r="K109" s="100"/>
      <c r="L109" s="44" t="str">
        <f t="shared" si="75"/>
        <v/>
      </c>
      <c r="M109" s="46">
        <f t="shared" si="76"/>
        <v>0.75</v>
      </c>
      <c r="N109" s="46"/>
      <c r="O109" s="41">
        <f t="shared" si="50"/>
        <v>0</v>
      </c>
      <c r="P109" s="42">
        <v>217000</v>
      </c>
      <c r="Q109" s="44" t="s">
        <v>3</v>
      </c>
      <c r="R109" s="28" t="s">
        <v>55</v>
      </c>
      <c r="S109" s="48">
        <f t="shared" si="60"/>
        <v>1519000</v>
      </c>
      <c r="T109" s="48">
        <f t="shared" si="46"/>
        <v>0</v>
      </c>
      <c r="W109" s="28">
        <v>761</v>
      </c>
      <c r="X109" s="105">
        <v>1.43</v>
      </c>
      <c r="Y109" s="105">
        <v>9.5399999999999991</v>
      </c>
      <c r="Z109" s="73" t="s">
        <v>465</v>
      </c>
      <c r="AA109" s="28">
        <v>150</v>
      </c>
    </row>
    <row r="110" spans="1:27" x14ac:dyDescent="0.25">
      <c r="A110" s="4"/>
      <c r="B110" s="62" t="s">
        <v>1308</v>
      </c>
      <c r="C110" s="75" t="s">
        <v>1309</v>
      </c>
      <c r="D110" s="28" t="s">
        <v>1242</v>
      </c>
      <c r="E110" s="28">
        <f t="shared" si="73"/>
        <v>92121</v>
      </c>
      <c r="F110" s="143" t="str">
        <f>INDEX(PV_Summary!$B$18:$B$118,MATCH($E110,PV_Summary!$A$18:$A$118,0))</f>
        <v>N</v>
      </c>
      <c r="G110" s="123">
        <v>32.881874000000003</v>
      </c>
      <c r="H110" s="61">
        <v>-117.163808</v>
      </c>
      <c r="I110" s="44" t="s">
        <v>69</v>
      </c>
      <c r="J110" s="46">
        <f t="shared" ref="J110:J150" ca="1" si="77">IF(O110&gt;1,Sym_Scl_Aggr_Parent,IF(O110&lt;1,Sym_Scl_Aggr_Child,Sym_Scl_Normal))</f>
        <v>1.5</v>
      </c>
      <c r="K110" s="100"/>
      <c r="L110" s="44" t="str">
        <f ca="1">IF(O110&gt;1,"Total","")</f>
        <v>Total</v>
      </c>
      <c r="M110" s="46">
        <f t="shared" ref="M110:M150" ca="1" si="78">IF(O110&gt;1,Label_Scl_Aggr_Parent,IF(O110&lt;1,Label_Scl_Aggr_Child,Label_Scl_Normal))</f>
        <v>1.25</v>
      </c>
      <c r="N110" s="46"/>
      <c r="O110" s="41">
        <f t="shared" ca="1" si="50"/>
        <v>5</v>
      </c>
      <c r="Q110" s="44"/>
      <c r="S110" s="48">
        <f t="shared" si="60"/>
        <v>0</v>
      </c>
      <c r="T110" s="48">
        <f t="shared" ca="1" si="46"/>
        <v>1001000</v>
      </c>
      <c r="U110" s="28" t="s">
        <v>1111</v>
      </c>
      <c r="W110" s="28">
        <v>224</v>
      </c>
      <c r="X110" s="28">
        <v>1.48</v>
      </c>
      <c r="Y110" s="105">
        <v>9.84</v>
      </c>
      <c r="Z110" s="73" t="s">
        <v>465</v>
      </c>
      <c r="AA110" s="28"/>
    </row>
    <row r="111" spans="1:27" x14ac:dyDescent="0.25">
      <c r="A111" s="4"/>
      <c r="B111" s="98" t="s">
        <v>1315</v>
      </c>
      <c r="C111" s="75" t="s">
        <v>1309</v>
      </c>
      <c r="D111" s="28" t="s">
        <v>1242</v>
      </c>
      <c r="E111" s="28">
        <f t="shared" ref="E111:E132" si="79">RIGHT(TRIM(D111),5)*1</f>
        <v>92121</v>
      </c>
      <c r="F111" s="143" t="str">
        <f>INDEX(PV_Summary!$B$18:$B$118,MATCH($E111,PV_Summary!$A$18:$A$118,0))</f>
        <v>N</v>
      </c>
      <c r="G111" s="123">
        <v>32.882720999999997</v>
      </c>
      <c r="H111" s="61">
        <v>-117.164205</v>
      </c>
      <c r="I111" s="44" t="s">
        <v>37</v>
      </c>
      <c r="J111" s="46">
        <f t="shared" si="77"/>
        <v>0.75</v>
      </c>
      <c r="K111" s="100"/>
      <c r="L111" s="44" t="str">
        <f>IF(O111&gt;1,"Total","")</f>
        <v/>
      </c>
      <c r="M111" s="46">
        <f t="shared" si="78"/>
        <v>0.75</v>
      </c>
      <c r="N111" s="46"/>
      <c r="O111" s="41">
        <f t="shared" si="50"/>
        <v>0</v>
      </c>
      <c r="P111" s="42">
        <v>42000</v>
      </c>
      <c r="Q111" s="44" t="s">
        <v>37</v>
      </c>
      <c r="R111" s="28" t="s">
        <v>55</v>
      </c>
      <c r="S111" s="48">
        <f t="shared" si="60"/>
        <v>294000</v>
      </c>
      <c r="T111" s="48">
        <f t="shared" si="46"/>
        <v>0</v>
      </c>
      <c r="W111" s="28">
        <v>224</v>
      </c>
      <c r="X111" s="28">
        <v>1.48</v>
      </c>
      <c r="Y111" s="105">
        <v>9.84</v>
      </c>
      <c r="Z111" s="73" t="s">
        <v>465</v>
      </c>
      <c r="AA111" s="28">
        <v>100</v>
      </c>
    </row>
    <row r="112" spans="1:27" x14ac:dyDescent="0.25">
      <c r="A112" s="4"/>
      <c r="B112" s="98" t="s">
        <v>1316</v>
      </c>
      <c r="C112" s="75" t="s">
        <v>1309</v>
      </c>
      <c r="D112" s="28" t="s">
        <v>1242</v>
      </c>
      <c r="E112" s="28">
        <f t="shared" si="79"/>
        <v>92121</v>
      </c>
      <c r="F112" s="143" t="str">
        <f>INDEX(PV_Summary!$B$18:$B$118,MATCH($E112,PV_Summary!$A$18:$A$118,0))</f>
        <v>N</v>
      </c>
      <c r="G112" s="123">
        <v>32.882109</v>
      </c>
      <c r="H112" s="61">
        <v>-117.164219</v>
      </c>
      <c r="I112" s="44" t="s">
        <v>37</v>
      </c>
      <c r="J112" s="46">
        <f t="shared" si="77"/>
        <v>0.75</v>
      </c>
      <c r="K112" s="100"/>
      <c r="L112" s="44" t="str">
        <f>IF(O112&gt;1,"Total","")</f>
        <v/>
      </c>
      <c r="M112" s="46">
        <f t="shared" si="78"/>
        <v>0.75</v>
      </c>
      <c r="N112" s="46"/>
      <c r="O112" s="41">
        <f t="shared" si="50"/>
        <v>0</v>
      </c>
      <c r="P112" s="42">
        <v>33000</v>
      </c>
      <c r="Q112" s="44" t="s">
        <v>37</v>
      </c>
      <c r="R112" s="28" t="s">
        <v>55</v>
      </c>
      <c r="S112" s="48">
        <f t="shared" si="60"/>
        <v>231000</v>
      </c>
      <c r="T112" s="48">
        <f t="shared" si="46"/>
        <v>0</v>
      </c>
      <c r="W112" s="28">
        <v>224</v>
      </c>
      <c r="X112" s="28">
        <v>1.48</v>
      </c>
      <c r="Y112" s="105">
        <v>9.84</v>
      </c>
      <c r="Z112" s="73" t="s">
        <v>465</v>
      </c>
      <c r="AA112" s="28">
        <v>100</v>
      </c>
    </row>
    <row r="113" spans="1:27" x14ac:dyDescent="0.25">
      <c r="A113" s="4"/>
      <c r="B113" s="98" t="s">
        <v>1317</v>
      </c>
      <c r="C113" s="75" t="s">
        <v>1309</v>
      </c>
      <c r="D113" s="28" t="s">
        <v>1242</v>
      </c>
      <c r="E113" s="28">
        <f t="shared" si="79"/>
        <v>92121</v>
      </c>
      <c r="F113" s="143" t="str">
        <f>INDEX(PV_Summary!$B$18:$B$118,MATCH($E113,PV_Summary!$A$18:$A$118,0))</f>
        <v>N</v>
      </c>
      <c r="G113" s="123">
        <v>32.881568999999999</v>
      </c>
      <c r="H113" s="61">
        <v>-117.164219</v>
      </c>
      <c r="I113" s="44" t="s">
        <v>37</v>
      </c>
      <c r="J113" s="46">
        <f t="shared" si="77"/>
        <v>0.75</v>
      </c>
      <c r="K113" s="100"/>
      <c r="L113" s="44" t="str">
        <f>IF(O113&gt;1,"Total","")</f>
        <v/>
      </c>
      <c r="M113" s="46">
        <f t="shared" si="78"/>
        <v>0.75</v>
      </c>
      <c r="N113" s="46"/>
      <c r="O113" s="41">
        <f t="shared" si="50"/>
        <v>0</v>
      </c>
      <c r="P113" s="42">
        <v>33000</v>
      </c>
      <c r="Q113" s="44" t="s">
        <v>37</v>
      </c>
      <c r="R113" s="28" t="s">
        <v>55</v>
      </c>
      <c r="S113" s="48">
        <f t="shared" si="60"/>
        <v>231000</v>
      </c>
      <c r="T113" s="48">
        <f t="shared" si="46"/>
        <v>0</v>
      </c>
      <c r="W113" s="28">
        <v>224</v>
      </c>
      <c r="X113" s="28">
        <v>1.48</v>
      </c>
      <c r="Y113" s="105">
        <v>9.84</v>
      </c>
      <c r="Z113" s="73" t="s">
        <v>465</v>
      </c>
      <c r="AA113" s="28">
        <v>100</v>
      </c>
    </row>
    <row r="114" spans="1:27" x14ac:dyDescent="0.25">
      <c r="A114" s="4"/>
      <c r="B114" s="98" t="s">
        <v>1318</v>
      </c>
      <c r="C114" s="75" t="s">
        <v>1309</v>
      </c>
      <c r="D114" s="28" t="s">
        <v>1242</v>
      </c>
      <c r="E114" s="28">
        <f t="shared" si="79"/>
        <v>92121</v>
      </c>
      <c r="F114" s="143" t="str">
        <f>INDEX(PV_Summary!$B$18:$B$118,MATCH($E114,PV_Summary!$A$18:$A$118,0))</f>
        <v>N</v>
      </c>
      <c r="G114" s="123">
        <v>32.881036999999999</v>
      </c>
      <c r="H114" s="61">
        <v>-117.164112</v>
      </c>
      <c r="I114" s="44" t="s">
        <v>37</v>
      </c>
      <c r="J114" s="46">
        <f t="shared" si="77"/>
        <v>0.75</v>
      </c>
      <c r="K114" s="100"/>
      <c r="L114" s="44" t="str">
        <f>IF(O114&gt;1,"Total","")</f>
        <v/>
      </c>
      <c r="M114" s="46">
        <f t="shared" si="78"/>
        <v>0.75</v>
      </c>
      <c r="N114" s="46"/>
      <c r="O114" s="41">
        <f t="shared" si="50"/>
        <v>0</v>
      </c>
      <c r="P114" s="42">
        <v>35000</v>
      </c>
      <c r="Q114" s="44" t="s">
        <v>37</v>
      </c>
      <c r="R114" s="28" t="s">
        <v>55</v>
      </c>
      <c r="S114" s="48">
        <f t="shared" si="60"/>
        <v>245000</v>
      </c>
      <c r="T114" s="48">
        <f t="shared" si="46"/>
        <v>0</v>
      </c>
      <c r="W114" s="28">
        <v>224</v>
      </c>
      <c r="X114" s="28">
        <v>1.48</v>
      </c>
      <c r="Y114" s="105">
        <v>9.84</v>
      </c>
      <c r="Z114" s="73" t="s">
        <v>465</v>
      </c>
      <c r="AA114" s="28">
        <v>100</v>
      </c>
    </row>
    <row r="115" spans="1:27" x14ac:dyDescent="0.25">
      <c r="A115" s="4"/>
      <c r="B115" s="62" t="s">
        <v>1346</v>
      </c>
      <c r="C115" s="75" t="s">
        <v>1347</v>
      </c>
      <c r="D115" s="28" t="s">
        <v>1242</v>
      </c>
      <c r="E115" s="28">
        <f t="shared" ref="E115" si="80">RIGHT(TRIM(D115),5)*1</f>
        <v>92121</v>
      </c>
      <c r="F115" s="143" t="str">
        <f>INDEX(PV_Summary!$B$18:$B$118,MATCH($E115,PV_Summary!$A$18:$A$118,0))</f>
        <v>N</v>
      </c>
      <c r="G115" s="123">
        <v>32.909730000000003</v>
      </c>
      <c r="H115" s="61">
        <v>-117.181293</v>
      </c>
      <c r="I115" s="44" t="s">
        <v>69</v>
      </c>
      <c r="J115" s="46">
        <f t="shared" ca="1" si="77"/>
        <v>1.5</v>
      </c>
      <c r="K115" s="100"/>
      <c r="L115" s="44" t="str">
        <f t="shared" ref="L115:L121" ca="1" si="81">IF(O115&gt;1,"Total","")</f>
        <v>Total</v>
      </c>
      <c r="M115" s="46">
        <f t="shared" ca="1" si="78"/>
        <v>1.25</v>
      </c>
      <c r="N115" s="46"/>
      <c r="O115" s="41">
        <f t="shared" ca="1" si="50"/>
        <v>5</v>
      </c>
      <c r="Q115" s="44"/>
      <c r="S115" s="48">
        <f t="shared" si="60"/>
        <v>0</v>
      </c>
      <c r="T115" s="48">
        <f t="shared" ca="1" si="46"/>
        <v>2499000</v>
      </c>
      <c r="W115" s="28">
        <v>959</v>
      </c>
      <c r="X115" s="105">
        <v>1.49</v>
      </c>
      <c r="Y115" s="105">
        <v>9.93</v>
      </c>
      <c r="Z115" s="73" t="s">
        <v>1353</v>
      </c>
      <c r="AA115" s="28"/>
    </row>
    <row r="116" spans="1:27" x14ac:dyDescent="0.25">
      <c r="A116" s="4"/>
      <c r="B116" s="98" t="s">
        <v>1348</v>
      </c>
      <c r="C116" s="75" t="s">
        <v>1347</v>
      </c>
      <c r="D116" s="28" t="s">
        <v>1242</v>
      </c>
      <c r="E116" s="28">
        <f t="shared" ref="E116:E119" si="82">RIGHT(TRIM(D116),5)*1</f>
        <v>92121</v>
      </c>
      <c r="F116" s="143" t="str">
        <f>INDEX(PV_Summary!$B$18:$B$118,MATCH($E116,PV_Summary!$A$18:$A$118,0))</f>
        <v>N</v>
      </c>
      <c r="G116" s="123">
        <v>32.909084999999997</v>
      </c>
      <c r="H116" s="61">
        <v>-117.18083</v>
      </c>
      <c r="I116" s="44" t="s">
        <v>37</v>
      </c>
      <c r="J116" s="46">
        <f t="shared" si="77"/>
        <v>0.75</v>
      </c>
      <c r="K116" s="100"/>
      <c r="L116" s="44" t="str">
        <f t="shared" si="81"/>
        <v/>
      </c>
      <c r="M116" s="46">
        <f t="shared" si="78"/>
        <v>0.75</v>
      </c>
      <c r="N116" s="46"/>
      <c r="O116" s="41">
        <f t="shared" si="50"/>
        <v>0</v>
      </c>
      <c r="P116" s="42">
        <f>18000+14000</f>
        <v>32000</v>
      </c>
      <c r="Q116" s="44" t="s">
        <v>37</v>
      </c>
      <c r="R116" s="28" t="s">
        <v>55</v>
      </c>
      <c r="S116" s="48">
        <f t="shared" si="60"/>
        <v>224000</v>
      </c>
      <c r="T116" s="48">
        <f t="shared" si="46"/>
        <v>0</v>
      </c>
      <c r="W116" s="28">
        <v>959</v>
      </c>
      <c r="X116" s="105">
        <v>1.49</v>
      </c>
      <c r="Y116" s="105">
        <v>9.93</v>
      </c>
      <c r="Z116" s="73" t="s">
        <v>1353</v>
      </c>
      <c r="AA116" s="42">
        <v>300</v>
      </c>
    </row>
    <row r="117" spans="1:27" x14ac:dyDescent="0.25">
      <c r="A117" s="4"/>
      <c r="B117" s="98" t="s">
        <v>1349</v>
      </c>
      <c r="C117" s="75" t="s">
        <v>1347</v>
      </c>
      <c r="D117" s="28" t="s">
        <v>1242</v>
      </c>
      <c r="E117" s="28">
        <f t="shared" si="82"/>
        <v>92121</v>
      </c>
      <c r="F117" s="143" t="str">
        <f>INDEX(PV_Summary!$B$18:$B$118,MATCH($E117,PV_Summary!$A$18:$A$118,0))</f>
        <v>N</v>
      </c>
      <c r="G117" s="123">
        <v>32.908036000000003</v>
      </c>
      <c r="H117" s="61">
        <v>-117.180043</v>
      </c>
      <c r="I117" s="44" t="s">
        <v>3</v>
      </c>
      <c r="J117" s="46">
        <f t="shared" si="77"/>
        <v>0.75</v>
      </c>
      <c r="K117" s="100"/>
      <c r="L117" s="44" t="str">
        <f t="shared" si="81"/>
        <v/>
      </c>
      <c r="M117" s="46">
        <f t="shared" si="78"/>
        <v>0.75</v>
      </c>
      <c r="N117" s="46"/>
      <c r="O117" s="41">
        <f t="shared" si="50"/>
        <v>0</v>
      </c>
      <c r="P117" s="42">
        <v>178000</v>
      </c>
      <c r="Q117" s="44" t="s">
        <v>3</v>
      </c>
      <c r="R117" s="28" t="s">
        <v>55</v>
      </c>
      <c r="S117" s="48">
        <f t="shared" si="60"/>
        <v>1246000</v>
      </c>
      <c r="T117" s="48">
        <f t="shared" si="46"/>
        <v>0</v>
      </c>
      <c r="W117" s="28">
        <v>959</v>
      </c>
      <c r="X117" s="105">
        <v>1.49</v>
      </c>
      <c r="Y117" s="105">
        <v>9.93</v>
      </c>
      <c r="Z117" s="73" t="s">
        <v>1353</v>
      </c>
      <c r="AA117" s="28">
        <v>0</v>
      </c>
    </row>
    <row r="118" spans="1:27" x14ac:dyDescent="0.25">
      <c r="A118" s="4"/>
      <c r="B118" s="98" t="s">
        <v>1350</v>
      </c>
      <c r="C118" s="75" t="s">
        <v>1347</v>
      </c>
      <c r="D118" s="28" t="s">
        <v>1242</v>
      </c>
      <c r="E118" s="28">
        <f t="shared" si="82"/>
        <v>92121</v>
      </c>
      <c r="F118" s="143" t="str">
        <f>INDEX(PV_Summary!$B$18:$B$118,MATCH($E118,PV_Summary!$A$18:$A$118,0))</f>
        <v>N</v>
      </c>
      <c r="G118" s="123">
        <v>32.908580999999998</v>
      </c>
      <c r="H118" s="61">
        <v>-117.182044</v>
      </c>
      <c r="I118" s="44" t="s">
        <v>3</v>
      </c>
      <c r="J118" s="46">
        <f t="shared" si="77"/>
        <v>0.75</v>
      </c>
      <c r="K118" s="100"/>
      <c r="L118" s="44" t="str">
        <f t="shared" si="81"/>
        <v/>
      </c>
      <c r="M118" s="46">
        <f t="shared" si="78"/>
        <v>0.75</v>
      </c>
      <c r="N118" s="46"/>
      <c r="O118" s="41">
        <f t="shared" si="50"/>
        <v>0</v>
      </c>
      <c r="P118" s="42">
        <v>93000</v>
      </c>
      <c r="Q118" s="44" t="s">
        <v>3</v>
      </c>
      <c r="R118" s="28" t="s">
        <v>55</v>
      </c>
      <c r="S118" s="48">
        <f t="shared" si="60"/>
        <v>651000</v>
      </c>
      <c r="T118" s="48">
        <f t="shared" si="46"/>
        <v>0</v>
      </c>
      <c r="W118" s="28">
        <v>959</v>
      </c>
      <c r="X118" s="105">
        <v>1.49</v>
      </c>
      <c r="Y118" s="105">
        <v>9.93</v>
      </c>
      <c r="Z118" s="73" t="s">
        <v>1353</v>
      </c>
      <c r="AA118" s="28">
        <v>50</v>
      </c>
    </row>
    <row r="119" spans="1:27" x14ac:dyDescent="0.25">
      <c r="A119" s="4"/>
      <c r="B119" s="98" t="s">
        <v>1351</v>
      </c>
      <c r="C119" s="75" t="s">
        <v>1347</v>
      </c>
      <c r="D119" s="28" t="s">
        <v>1242</v>
      </c>
      <c r="E119" s="28">
        <f t="shared" si="82"/>
        <v>92121</v>
      </c>
      <c r="F119" s="143" t="str">
        <f>INDEX(PV_Summary!$B$18:$B$118,MATCH($E119,PV_Summary!$A$18:$A$118,0))</f>
        <v>N</v>
      </c>
      <c r="G119" s="123">
        <v>32.909103999999999</v>
      </c>
      <c r="H119" s="61">
        <v>-117.183143</v>
      </c>
      <c r="I119" s="44" t="s">
        <v>3</v>
      </c>
      <c r="J119" s="46">
        <f t="shared" si="77"/>
        <v>0.75</v>
      </c>
      <c r="K119" s="100"/>
      <c r="L119" s="44" t="str">
        <f t="shared" si="81"/>
        <v/>
      </c>
      <c r="M119" s="46">
        <f t="shared" si="78"/>
        <v>0.75</v>
      </c>
      <c r="N119" s="46"/>
      <c r="O119" s="41">
        <f t="shared" si="50"/>
        <v>0</v>
      </c>
      <c r="P119" s="42">
        <v>54000</v>
      </c>
      <c r="Q119" s="44" t="s">
        <v>3</v>
      </c>
      <c r="R119" s="28" t="s">
        <v>55</v>
      </c>
      <c r="S119" s="48">
        <f t="shared" si="60"/>
        <v>378000</v>
      </c>
      <c r="T119" s="48">
        <f t="shared" si="46"/>
        <v>0</v>
      </c>
      <c r="W119" s="28">
        <v>959</v>
      </c>
      <c r="X119" s="105">
        <v>1.49</v>
      </c>
      <c r="Y119" s="105">
        <v>9.93</v>
      </c>
      <c r="Z119" s="73" t="s">
        <v>1353</v>
      </c>
      <c r="AA119" s="28">
        <v>0</v>
      </c>
    </row>
    <row r="120" spans="1:27" x14ac:dyDescent="0.25">
      <c r="A120" s="4"/>
      <c r="B120" s="62" t="s">
        <v>1319</v>
      </c>
      <c r="C120" s="75" t="s">
        <v>1320</v>
      </c>
      <c r="D120" s="28" t="s">
        <v>1090</v>
      </c>
      <c r="E120" s="28">
        <f t="shared" si="79"/>
        <v>92126</v>
      </c>
      <c r="F120" s="143" t="str">
        <f>INDEX(PV_Summary!$B$18:$B$118,MATCH($E120,PV_Summary!$A$18:$A$118,0))</f>
        <v>N</v>
      </c>
      <c r="G120" s="123">
        <v>32.893228999999998</v>
      </c>
      <c r="H120" s="61">
        <v>-117.142343</v>
      </c>
      <c r="I120" s="44" t="s">
        <v>37</v>
      </c>
      <c r="J120" s="46">
        <f t="shared" ca="1" si="77"/>
        <v>1</v>
      </c>
      <c r="K120" s="100"/>
      <c r="L120" s="44" t="str">
        <f t="shared" ca="1" si="81"/>
        <v/>
      </c>
      <c r="M120" s="46">
        <f t="shared" ca="1" si="78"/>
        <v>1</v>
      </c>
      <c r="N120" s="46"/>
      <c r="O120" s="41">
        <f t="shared" ca="1" si="50"/>
        <v>1</v>
      </c>
      <c r="P120" s="42">
        <v>130000</v>
      </c>
      <c r="Q120" s="44" t="s">
        <v>37</v>
      </c>
      <c r="R120" s="28" t="s">
        <v>55</v>
      </c>
      <c r="S120" s="48">
        <f t="shared" si="60"/>
        <v>910000</v>
      </c>
      <c r="T120" s="48">
        <f t="shared" ca="1" si="46"/>
        <v>910000</v>
      </c>
      <c r="U120" s="28" t="s">
        <v>1111</v>
      </c>
      <c r="W120" s="28">
        <v>229</v>
      </c>
      <c r="X120" s="105">
        <v>1.37</v>
      </c>
      <c r="Y120" s="105">
        <v>9.1</v>
      </c>
      <c r="Z120" s="73" t="s">
        <v>465</v>
      </c>
      <c r="AA120" s="28">
        <v>0</v>
      </c>
    </row>
    <row r="121" spans="1:27" x14ac:dyDescent="0.25">
      <c r="A121" s="4"/>
      <c r="B121" s="62" t="s">
        <v>1336</v>
      </c>
      <c r="C121" s="75" t="s">
        <v>1337</v>
      </c>
      <c r="D121" s="28" t="s">
        <v>1338</v>
      </c>
      <c r="E121" s="28">
        <f t="shared" ref="E121" si="83">RIGHT(TRIM(D121),5)*1</f>
        <v>92126</v>
      </c>
      <c r="F121" s="143" t="str">
        <f>INDEX(PV_Summary!$B$18:$B$118,MATCH($E121,PV_Summary!$A$18:$A$118,0))</f>
        <v>N</v>
      </c>
      <c r="G121" s="123">
        <v>32.912466999999999</v>
      </c>
      <c r="H121" s="61">
        <v>-117.14755</v>
      </c>
      <c r="I121" s="44" t="s">
        <v>62</v>
      </c>
      <c r="J121" s="46">
        <f t="shared" ca="1" si="77"/>
        <v>1.5</v>
      </c>
      <c r="K121" s="100"/>
      <c r="L121" s="44" t="str">
        <f t="shared" ca="1" si="81"/>
        <v>Total</v>
      </c>
      <c r="M121" s="46">
        <f t="shared" ca="1" si="78"/>
        <v>1.25</v>
      </c>
      <c r="N121" s="46"/>
      <c r="O121" s="41">
        <f t="shared" ca="1" si="50"/>
        <v>8</v>
      </c>
      <c r="Q121" s="44"/>
      <c r="S121" s="48">
        <f t="shared" si="60"/>
        <v>0</v>
      </c>
      <c r="T121" s="48">
        <f t="shared" ca="1" si="46"/>
        <v>3279000</v>
      </c>
      <c r="W121" s="28">
        <v>228</v>
      </c>
      <c r="X121" s="105">
        <v>1.42</v>
      </c>
      <c r="Y121" s="105">
        <v>9.4600000000000009</v>
      </c>
      <c r="Z121" s="73" t="s">
        <v>465</v>
      </c>
      <c r="AA121" s="28"/>
    </row>
    <row r="122" spans="1:27" x14ac:dyDescent="0.25">
      <c r="A122" s="4"/>
      <c r="B122" s="98" t="s">
        <v>1339</v>
      </c>
      <c r="C122" s="75" t="s">
        <v>1337</v>
      </c>
      <c r="D122" s="28" t="s">
        <v>1338</v>
      </c>
      <c r="E122" s="28">
        <f t="shared" ref="E122:E128" si="84">RIGHT(TRIM(D122),5)*1</f>
        <v>92126</v>
      </c>
      <c r="F122" s="143" t="str">
        <f>INDEX(PV_Summary!$B$18:$B$118,MATCH($E122,PV_Summary!$A$18:$A$118,0))</f>
        <v>N</v>
      </c>
      <c r="G122" s="123">
        <v>32.914459999999998</v>
      </c>
      <c r="H122" s="61">
        <v>-117.147965</v>
      </c>
      <c r="I122" s="44" t="s">
        <v>37</v>
      </c>
      <c r="J122" s="46">
        <f t="shared" si="77"/>
        <v>0.75</v>
      </c>
      <c r="K122" s="100"/>
      <c r="L122" s="44" t="str">
        <f t="shared" ref="L122:L133" si="85">IF(O122&gt;1,"Total","")</f>
        <v/>
      </c>
      <c r="M122" s="46">
        <f t="shared" si="78"/>
        <v>0.75</v>
      </c>
      <c r="N122" s="46"/>
      <c r="O122" s="41">
        <f t="shared" si="50"/>
        <v>0</v>
      </c>
      <c r="P122" s="42">
        <v>123000</v>
      </c>
      <c r="Q122" s="44" t="s">
        <v>37</v>
      </c>
      <c r="R122" s="28" t="s">
        <v>56</v>
      </c>
      <c r="S122" s="48">
        <f t="shared" si="60"/>
        <v>738000</v>
      </c>
      <c r="T122" s="48">
        <f t="shared" si="46"/>
        <v>0</v>
      </c>
      <c r="U122" s="28" t="s">
        <v>1332</v>
      </c>
      <c r="W122" s="28">
        <v>228</v>
      </c>
      <c r="X122" s="105">
        <v>1.42</v>
      </c>
      <c r="Y122" s="105">
        <v>9.4600000000000009</v>
      </c>
      <c r="Z122" s="73" t="s">
        <v>465</v>
      </c>
      <c r="AA122" s="28">
        <v>300</v>
      </c>
    </row>
    <row r="123" spans="1:27" x14ac:dyDescent="0.25">
      <c r="A123" s="4"/>
      <c r="B123" s="98" t="s">
        <v>1340</v>
      </c>
      <c r="C123" s="75" t="s">
        <v>1337</v>
      </c>
      <c r="D123" s="28" t="s">
        <v>1338</v>
      </c>
      <c r="E123" s="28">
        <f t="shared" si="84"/>
        <v>92126</v>
      </c>
      <c r="F123" s="143" t="str">
        <f>INDEX(PV_Summary!$B$18:$B$118,MATCH($E123,PV_Summary!$A$18:$A$118,0))</f>
        <v>N</v>
      </c>
      <c r="G123" s="123">
        <v>32.915224000000002</v>
      </c>
      <c r="H123" s="61">
        <v>-117.148225</v>
      </c>
      <c r="I123" s="44" t="s">
        <v>3</v>
      </c>
      <c r="J123" s="46">
        <f t="shared" si="77"/>
        <v>0.75</v>
      </c>
      <c r="K123" s="100"/>
      <c r="L123" s="44" t="str">
        <f t="shared" si="85"/>
        <v/>
      </c>
      <c r="M123" s="46">
        <f t="shared" si="78"/>
        <v>0.75</v>
      </c>
      <c r="N123" s="46"/>
      <c r="O123" s="41">
        <f t="shared" si="50"/>
        <v>0</v>
      </c>
      <c r="P123" s="42">
        <v>44000</v>
      </c>
      <c r="Q123" s="44" t="s">
        <v>3</v>
      </c>
      <c r="R123" s="28" t="s">
        <v>55</v>
      </c>
      <c r="S123" s="48">
        <f t="shared" si="60"/>
        <v>308000</v>
      </c>
      <c r="T123" s="48">
        <f t="shared" si="46"/>
        <v>0</v>
      </c>
      <c r="W123" s="28">
        <v>228</v>
      </c>
      <c r="X123" s="105">
        <v>1.42</v>
      </c>
      <c r="Y123" s="105">
        <v>9.4600000000000009</v>
      </c>
      <c r="Z123" s="73" t="s">
        <v>465</v>
      </c>
      <c r="AA123" s="28">
        <v>0</v>
      </c>
    </row>
    <row r="124" spans="1:27" x14ac:dyDescent="0.25">
      <c r="A124" s="4"/>
      <c r="B124" s="98" t="s">
        <v>1341</v>
      </c>
      <c r="C124" s="75" t="s">
        <v>1337</v>
      </c>
      <c r="D124" s="28" t="s">
        <v>1338</v>
      </c>
      <c r="E124" s="28">
        <f t="shared" si="84"/>
        <v>92126</v>
      </c>
      <c r="F124" s="143" t="str">
        <f>INDEX(PV_Summary!$B$18:$B$118,MATCH($E124,PV_Summary!$A$18:$A$118,0))</f>
        <v>N</v>
      </c>
      <c r="G124" s="123">
        <v>32.915328000000002</v>
      </c>
      <c r="H124" s="61">
        <v>-117.147128</v>
      </c>
      <c r="I124" s="44" t="s">
        <v>37</v>
      </c>
      <c r="J124" s="46">
        <f t="shared" si="77"/>
        <v>0.75</v>
      </c>
      <c r="K124" s="100"/>
      <c r="L124" s="44" t="str">
        <f t="shared" si="85"/>
        <v/>
      </c>
      <c r="M124" s="46">
        <f t="shared" si="78"/>
        <v>0.75</v>
      </c>
      <c r="N124" s="46"/>
      <c r="O124" s="41">
        <f t="shared" si="50"/>
        <v>0</v>
      </c>
      <c r="P124" s="42">
        <v>23000</v>
      </c>
      <c r="Q124" s="44" t="s">
        <v>37</v>
      </c>
      <c r="R124" s="28" t="s">
        <v>55</v>
      </c>
      <c r="S124" s="48">
        <f t="shared" si="60"/>
        <v>161000</v>
      </c>
      <c r="T124" s="48">
        <f t="shared" si="46"/>
        <v>0</v>
      </c>
      <c r="W124" s="28">
        <v>228</v>
      </c>
      <c r="X124" s="105">
        <v>1.42</v>
      </c>
      <c r="Y124" s="105">
        <v>9.4600000000000009</v>
      </c>
      <c r="Z124" s="73" t="s">
        <v>465</v>
      </c>
      <c r="AA124" s="28">
        <v>0</v>
      </c>
    </row>
    <row r="125" spans="1:27" x14ac:dyDescent="0.25">
      <c r="A125" s="4"/>
      <c r="B125" s="98" t="s">
        <v>1342</v>
      </c>
      <c r="C125" s="75" t="s">
        <v>1337</v>
      </c>
      <c r="D125" s="28" t="s">
        <v>1338</v>
      </c>
      <c r="E125" s="28">
        <f t="shared" si="84"/>
        <v>92126</v>
      </c>
      <c r="F125" s="143" t="str">
        <f>INDEX(PV_Summary!$B$18:$B$118,MATCH($E125,PV_Summary!$A$18:$A$118,0))</f>
        <v>N</v>
      </c>
      <c r="G125" s="123">
        <v>32.913643</v>
      </c>
      <c r="H125" s="61">
        <v>-117.148557</v>
      </c>
      <c r="I125" s="44" t="s">
        <v>3</v>
      </c>
      <c r="J125" s="46">
        <f t="shared" si="77"/>
        <v>0.75</v>
      </c>
      <c r="K125" s="100"/>
      <c r="L125" s="44" t="str">
        <f t="shared" si="85"/>
        <v/>
      </c>
      <c r="M125" s="46">
        <f t="shared" si="78"/>
        <v>0.75</v>
      </c>
      <c r="N125" s="46"/>
      <c r="O125" s="41">
        <f t="shared" si="50"/>
        <v>0</v>
      </c>
      <c r="P125" s="42">
        <v>94000</v>
      </c>
      <c r="Q125" s="44" t="s">
        <v>3</v>
      </c>
      <c r="R125" s="28" t="s">
        <v>55</v>
      </c>
      <c r="S125" s="48">
        <f t="shared" si="60"/>
        <v>658000</v>
      </c>
      <c r="T125" s="48">
        <f t="shared" si="46"/>
        <v>0</v>
      </c>
      <c r="W125" s="28">
        <v>228</v>
      </c>
      <c r="X125" s="105">
        <v>1.42</v>
      </c>
      <c r="Y125" s="105">
        <v>9.4600000000000009</v>
      </c>
      <c r="Z125" s="73" t="s">
        <v>465</v>
      </c>
      <c r="AA125" s="28">
        <v>50</v>
      </c>
    </row>
    <row r="126" spans="1:27" x14ac:dyDescent="0.25">
      <c r="A126" s="4"/>
      <c r="B126" s="98" t="s">
        <v>1343</v>
      </c>
      <c r="C126" s="75" t="s">
        <v>1337</v>
      </c>
      <c r="D126" s="28" t="s">
        <v>1338</v>
      </c>
      <c r="E126" s="28">
        <f t="shared" si="84"/>
        <v>92126</v>
      </c>
      <c r="F126" s="143" t="str">
        <f>INDEX(PV_Summary!$B$18:$B$118,MATCH($E126,PV_Summary!$A$18:$A$118,0))</f>
        <v>N</v>
      </c>
      <c r="G126" s="123">
        <v>32.913620000000002</v>
      </c>
      <c r="H126" s="61">
        <v>-117.14745600000001</v>
      </c>
      <c r="I126" s="44" t="s">
        <v>3</v>
      </c>
      <c r="J126" s="46">
        <f t="shared" si="77"/>
        <v>0.75</v>
      </c>
      <c r="K126" s="100"/>
      <c r="L126" s="44" t="str">
        <f t="shared" si="85"/>
        <v/>
      </c>
      <c r="M126" s="46">
        <f t="shared" si="78"/>
        <v>0.75</v>
      </c>
      <c r="N126" s="46"/>
      <c r="O126" s="41">
        <f t="shared" si="50"/>
        <v>0</v>
      </c>
      <c r="P126" s="42">
        <v>79000</v>
      </c>
      <c r="Q126" s="44" t="s">
        <v>3</v>
      </c>
      <c r="R126" s="28" t="s">
        <v>55</v>
      </c>
      <c r="S126" s="48">
        <f t="shared" si="60"/>
        <v>553000</v>
      </c>
      <c r="T126" s="48">
        <f t="shared" si="46"/>
        <v>0</v>
      </c>
      <c r="W126" s="28">
        <v>228</v>
      </c>
      <c r="X126" s="105">
        <v>1.42</v>
      </c>
      <c r="Y126" s="105">
        <v>9.4600000000000009</v>
      </c>
      <c r="Z126" s="73" t="s">
        <v>465</v>
      </c>
      <c r="AA126" s="28">
        <v>400</v>
      </c>
    </row>
    <row r="127" spans="1:27" x14ac:dyDescent="0.25">
      <c r="A127" s="4"/>
      <c r="B127" s="98" t="s">
        <v>1344</v>
      </c>
      <c r="C127" s="75" t="s">
        <v>1337</v>
      </c>
      <c r="D127" s="28" t="s">
        <v>1338</v>
      </c>
      <c r="E127" s="28">
        <f t="shared" si="84"/>
        <v>92126</v>
      </c>
      <c r="F127" s="143" t="str">
        <f>INDEX(PV_Summary!$B$18:$B$118,MATCH($E127,PV_Summary!$A$18:$A$118,0))</f>
        <v>N</v>
      </c>
      <c r="G127" s="123">
        <v>32.914648</v>
      </c>
      <c r="H127" s="61">
        <v>-117.145079</v>
      </c>
      <c r="I127" s="44" t="s">
        <v>3</v>
      </c>
      <c r="J127" s="46">
        <f t="shared" si="77"/>
        <v>0.75</v>
      </c>
      <c r="K127" s="100"/>
      <c r="L127" s="44" t="str">
        <f t="shared" si="85"/>
        <v/>
      </c>
      <c r="M127" s="46">
        <f t="shared" si="78"/>
        <v>0.75</v>
      </c>
      <c r="N127" s="46"/>
      <c r="O127" s="41">
        <f>IF($C127=$C126,0,COUNTIFS(Address,$C127))</f>
        <v>0</v>
      </c>
      <c r="P127" s="42">
        <v>66000</v>
      </c>
      <c r="Q127" s="44" t="s">
        <v>3</v>
      </c>
      <c r="R127" s="28" t="s">
        <v>55</v>
      </c>
      <c r="S127" s="48">
        <f t="shared" si="60"/>
        <v>462000</v>
      </c>
      <c r="T127" s="48">
        <f t="shared" si="46"/>
        <v>0</v>
      </c>
      <c r="W127" s="28">
        <v>228</v>
      </c>
      <c r="X127" s="105">
        <v>1.42</v>
      </c>
      <c r="Y127" s="105">
        <v>9.4600000000000009</v>
      </c>
      <c r="Z127" s="73" t="s">
        <v>465</v>
      </c>
      <c r="AA127" s="28">
        <v>0</v>
      </c>
    </row>
    <row r="128" spans="1:27" x14ac:dyDescent="0.25">
      <c r="A128" s="4"/>
      <c r="B128" s="98" t="s">
        <v>1345</v>
      </c>
      <c r="C128" s="75" t="s">
        <v>1337</v>
      </c>
      <c r="D128" s="28" t="s">
        <v>1338</v>
      </c>
      <c r="E128" s="28">
        <f t="shared" si="84"/>
        <v>92126</v>
      </c>
      <c r="F128" s="143" t="str">
        <f>INDEX(PV_Summary!$B$18:$B$118,MATCH($E128,PV_Summary!$A$18:$A$118,0))</f>
        <v>N</v>
      </c>
      <c r="G128" s="123">
        <v>32.913980000000002</v>
      </c>
      <c r="H128" s="61">
        <v>-117.14528</v>
      </c>
      <c r="I128" s="44" t="s">
        <v>3</v>
      </c>
      <c r="J128" s="46">
        <f t="shared" si="77"/>
        <v>0.75</v>
      </c>
      <c r="K128" s="100"/>
      <c r="L128" s="44" t="str">
        <f t="shared" si="85"/>
        <v/>
      </c>
      <c r="M128" s="46">
        <f t="shared" si="78"/>
        <v>0.75</v>
      </c>
      <c r="N128" s="46"/>
      <c r="O128" s="41">
        <f t="shared" si="50"/>
        <v>0</v>
      </c>
      <c r="P128" s="42">
        <v>57000</v>
      </c>
      <c r="Q128" s="44" t="s">
        <v>3</v>
      </c>
      <c r="R128" s="28" t="s">
        <v>55</v>
      </c>
      <c r="S128" s="48">
        <f t="shared" si="60"/>
        <v>399000</v>
      </c>
      <c r="T128" s="48">
        <f t="shared" si="46"/>
        <v>0</v>
      </c>
      <c r="W128" s="28">
        <v>228</v>
      </c>
      <c r="X128" s="105">
        <v>1.42</v>
      </c>
      <c r="Y128" s="105">
        <v>9.4600000000000009</v>
      </c>
      <c r="Z128" s="73" t="s">
        <v>465</v>
      </c>
      <c r="AA128" s="28">
        <v>50</v>
      </c>
    </row>
    <row r="129" spans="1:27" x14ac:dyDescent="0.25">
      <c r="A129" s="4"/>
      <c r="B129" s="62" t="s">
        <v>1501</v>
      </c>
      <c r="C129" s="75" t="s">
        <v>1502</v>
      </c>
      <c r="D129" s="28" t="s">
        <v>1503</v>
      </c>
      <c r="E129" s="28">
        <f t="shared" ref="E129" si="86">RIGHT(TRIM(D129),5)*1</f>
        <v>92131</v>
      </c>
      <c r="F129" s="143" t="str">
        <f>INDEX(PV_Summary!$B$18:$B$118,MATCH($E129,PV_Summary!$A$18:$A$118,0))</f>
        <v>N</v>
      </c>
      <c r="G129" s="123">
        <v>32.936701999999997</v>
      </c>
      <c r="H129" s="61">
        <v>-117.099847</v>
      </c>
      <c r="I129" s="44" t="s">
        <v>62</v>
      </c>
      <c r="J129" s="46">
        <f t="shared" ref="J129:J132" ca="1" si="87">IF(O129&gt;1,Sym_Scl_Aggr_Parent,IF(O129&lt;1,Sym_Scl_Aggr_Child,Sym_Scl_Normal))</f>
        <v>1.5</v>
      </c>
      <c r="K129" s="100"/>
      <c r="L129" s="44" t="str">
        <f t="shared" ref="L129:L132" ca="1" si="88">IF(O129&gt;1,"Total","")</f>
        <v>Total</v>
      </c>
      <c r="M129" s="46">
        <f t="shared" ref="M129:M132" ca="1" si="89">IF(O129&gt;1,Label_Scl_Aggr_Parent,IF(O129&lt;1,Label_Scl_Aggr_Child,Label_Scl_Normal))</f>
        <v>1.25</v>
      </c>
      <c r="N129" s="46"/>
      <c r="O129" s="41">
        <f t="shared" ca="1" si="50"/>
        <v>3</v>
      </c>
      <c r="Q129" s="44"/>
      <c r="S129" s="48">
        <f t="shared" si="60"/>
        <v>0</v>
      </c>
      <c r="T129" s="48">
        <f t="shared" ca="1" si="46"/>
        <v>1778000</v>
      </c>
      <c r="W129" s="28">
        <v>729</v>
      </c>
      <c r="X129" s="105">
        <v>1.36</v>
      </c>
      <c r="Y129" s="105">
        <v>9.07</v>
      </c>
      <c r="Z129" s="73" t="s">
        <v>1354</v>
      </c>
      <c r="AA129" s="28"/>
    </row>
    <row r="130" spans="1:27" x14ac:dyDescent="0.25">
      <c r="A130" s="4"/>
      <c r="B130" s="98" t="s">
        <v>1504</v>
      </c>
      <c r="C130" s="75" t="s">
        <v>1502</v>
      </c>
      <c r="D130" s="28" t="s">
        <v>1503</v>
      </c>
      <c r="E130" s="28">
        <f t="shared" ref="E130:E131" si="90">RIGHT(TRIM(D130),5)*1</f>
        <v>92131</v>
      </c>
      <c r="F130" s="143" t="str">
        <f>INDEX(PV_Summary!$B$18:$B$118,MATCH($E130,PV_Summary!$A$18:$A$118,0))</f>
        <v>N</v>
      </c>
      <c r="G130" s="123">
        <v>32.936083000000004</v>
      </c>
      <c r="H130" s="61">
        <v>-117.099523</v>
      </c>
      <c r="I130" s="44" t="s">
        <v>3</v>
      </c>
      <c r="J130" s="46">
        <f t="shared" si="87"/>
        <v>0.75</v>
      </c>
      <c r="K130" s="100"/>
      <c r="L130" s="44" t="str">
        <f t="shared" si="88"/>
        <v/>
      </c>
      <c r="M130" s="46">
        <f t="shared" si="89"/>
        <v>0.75</v>
      </c>
      <c r="N130" s="46"/>
      <c r="O130" s="41">
        <f t="shared" si="50"/>
        <v>0</v>
      </c>
      <c r="P130" s="42">
        <v>215000</v>
      </c>
      <c r="Q130" s="44" t="s">
        <v>3</v>
      </c>
      <c r="R130" s="28" t="s">
        <v>55</v>
      </c>
      <c r="S130" s="48">
        <f t="shared" si="60"/>
        <v>1505000</v>
      </c>
      <c r="T130" s="48">
        <f t="shared" si="46"/>
        <v>0</v>
      </c>
      <c r="W130" s="28">
        <v>729</v>
      </c>
      <c r="X130" s="105">
        <v>1.36</v>
      </c>
      <c r="Y130" s="105">
        <v>9.07</v>
      </c>
      <c r="Z130" s="73" t="s">
        <v>1354</v>
      </c>
      <c r="AA130" s="28">
        <v>100</v>
      </c>
    </row>
    <row r="131" spans="1:27" x14ac:dyDescent="0.25">
      <c r="A131" s="4"/>
      <c r="B131" s="98" t="s">
        <v>1505</v>
      </c>
      <c r="C131" s="75" t="s">
        <v>1502</v>
      </c>
      <c r="D131" s="28" t="s">
        <v>1503</v>
      </c>
      <c r="E131" s="28">
        <f t="shared" si="90"/>
        <v>92131</v>
      </c>
      <c r="F131" s="143" t="str">
        <f>INDEX(PV_Summary!$B$18:$B$118,MATCH($E131,PV_Summary!$A$18:$A$118,0))</f>
        <v>N</v>
      </c>
      <c r="G131" s="123">
        <v>32.935330999999998</v>
      </c>
      <c r="H131" s="61">
        <v>-117.09877299999999</v>
      </c>
      <c r="I131" s="44" t="s">
        <v>37</v>
      </c>
      <c r="J131" s="46">
        <f t="shared" si="87"/>
        <v>0.75</v>
      </c>
      <c r="K131" s="100"/>
      <c r="L131" s="44" t="str">
        <f t="shared" si="88"/>
        <v/>
      </c>
      <c r="M131" s="46">
        <f t="shared" si="89"/>
        <v>0.75</v>
      </c>
      <c r="N131" s="46"/>
      <c r="O131" s="41">
        <f t="shared" si="50"/>
        <v>0</v>
      </c>
      <c r="P131" s="42">
        <v>39000</v>
      </c>
      <c r="Q131" s="44" t="s">
        <v>37</v>
      </c>
      <c r="R131" s="28" t="s">
        <v>55</v>
      </c>
      <c r="S131" s="48">
        <f t="shared" si="60"/>
        <v>273000</v>
      </c>
      <c r="T131" s="48">
        <f t="shared" ref="T131:T194" si="91">SUMIF($C:$C,$C131,$S:$S)*IF($O131&gt;=1,1,0)</f>
        <v>0</v>
      </c>
      <c r="W131" s="28">
        <v>729</v>
      </c>
      <c r="X131" s="105">
        <v>1.36</v>
      </c>
      <c r="Y131" s="105">
        <v>9.07</v>
      </c>
      <c r="Z131" s="73" t="s">
        <v>1354</v>
      </c>
      <c r="AA131" s="28">
        <v>100</v>
      </c>
    </row>
    <row r="132" spans="1:27" x14ac:dyDescent="0.25">
      <c r="A132" s="4"/>
      <c r="B132" s="62" t="s">
        <v>1321</v>
      </c>
      <c r="C132" s="75" t="s">
        <v>1322</v>
      </c>
      <c r="D132" s="28" t="s">
        <v>1090</v>
      </c>
      <c r="E132" s="28">
        <f t="shared" si="79"/>
        <v>92126</v>
      </c>
      <c r="F132" s="143" t="str">
        <f>INDEX(PV_Summary!$B$18:$B$118,MATCH($E132,PV_Summary!$A$18:$A$118,0))</f>
        <v>N</v>
      </c>
      <c r="G132" s="123">
        <v>32.915270999999997</v>
      </c>
      <c r="H132" s="61">
        <v>-117.120676</v>
      </c>
      <c r="I132" s="44" t="s">
        <v>62</v>
      </c>
      <c r="J132" s="46">
        <f t="shared" ca="1" si="87"/>
        <v>1.5</v>
      </c>
      <c r="K132" s="100"/>
      <c r="L132" s="44" t="str">
        <f t="shared" ca="1" si="88"/>
        <v>Total</v>
      </c>
      <c r="M132" s="46">
        <f t="shared" ca="1" si="89"/>
        <v>1.25</v>
      </c>
      <c r="N132" s="46"/>
      <c r="O132" s="41">
        <f t="shared" ca="1" si="50"/>
        <v>13</v>
      </c>
      <c r="Q132" s="44"/>
      <c r="S132" s="48">
        <f t="shared" si="60"/>
        <v>0</v>
      </c>
      <c r="T132" s="48">
        <f t="shared" ca="1" si="91"/>
        <v>5457000</v>
      </c>
      <c r="U132" s="28" t="s">
        <v>1355</v>
      </c>
      <c r="W132" s="28">
        <v>438</v>
      </c>
      <c r="X132" s="105">
        <v>1.21</v>
      </c>
      <c r="Y132" s="105">
        <v>8.0500000000000007</v>
      </c>
      <c r="Z132" s="73" t="s">
        <v>1354</v>
      </c>
      <c r="AA132" s="28"/>
    </row>
    <row r="133" spans="1:27" x14ac:dyDescent="0.25">
      <c r="A133" s="4"/>
      <c r="B133" s="98" t="s">
        <v>1323</v>
      </c>
      <c r="C133" s="75" t="s">
        <v>1322</v>
      </c>
      <c r="D133" s="28" t="s">
        <v>1090</v>
      </c>
      <c r="E133" s="28">
        <f t="shared" ref="E133:E144" si="92">RIGHT(TRIM(D133),5)*1</f>
        <v>92126</v>
      </c>
      <c r="F133" s="143" t="str">
        <f>INDEX(PV_Summary!$B$18:$B$118,MATCH($E133,PV_Summary!$A$18:$A$118,0))</f>
        <v>N</v>
      </c>
      <c r="G133" s="123">
        <v>32.916468999999999</v>
      </c>
      <c r="H133" s="61">
        <v>-117.12154200000001</v>
      </c>
      <c r="I133" s="44" t="s">
        <v>3</v>
      </c>
      <c r="J133" s="46">
        <f t="shared" si="77"/>
        <v>0.75</v>
      </c>
      <c r="K133" s="100"/>
      <c r="L133" s="44" t="str">
        <f t="shared" si="85"/>
        <v/>
      </c>
      <c r="M133" s="46">
        <f t="shared" si="78"/>
        <v>0.75</v>
      </c>
      <c r="N133" s="46"/>
      <c r="O133" s="41">
        <f t="shared" si="50"/>
        <v>0</v>
      </c>
      <c r="P133" s="42">
        <v>74000</v>
      </c>
      <c r="Q133" s="44" t="s">
        <v>3</v>
      </c>
      <c r="R133" s="28" t="s">
        <v>55</v>
      </c>
      <c r="S133" s="48">
        <f t="shared" si="60"/>
        <v>518000</v>
      </c>
      <c r="T133" s="48">
        <f t="shared" si="91"/>
        <v>0</v>
      </c>
      <c r="W133" s="28">
        <v>435</v>
      </c>
      <c r="X133" s="105">
        <v>1.31</v>
      </c>
      <c r="Y133" s="105">
        <v>8.76</v>
      </c>
      <c r="Z133" s="73" t="s">
        <v>1354</v>
      </c>
      <c r="AA133" s="28">
        <v>50</v>
      </c>
    </row>
    <row r="134" spans="1:27" x14ac:dyDescent="0.25">
      <c r="A134" s="4"/>
      <c r="B134" s="98" t="s">
        <v>1324</v>
      </c>
      <c r="C134" s="75" t="s">
        <v>1322</v>
      </c>
      <c r="D134" s="28" t="s">
        <v>1090</v>
      </c>
      <c r="E134" s="28">
        <f t="shared" si="92"/>
        <v>92126</v>
      </c>
      <c r="F134" s="143" t="str">
        <f>INDEX(PV_Summary!$B$18:$B$118,MATCH($E134,PV_Summary!$A$18:$A$118,0))</f>
        <v>N</v>
      </c>
      <c r="G134" s="123">
        <v>32.915526999999997</v>
      </c>
      <c r="H134" s="61">
        <v>-117.121342</v>
      </c>
      <c r="I134" s="44" t="s">
        <v>3</v>
      </c>
      <c r="J134" s="46">
        <f t="shared" si="77"/>
        <v>0.75</v>
      </c>
      <c r="K134" s="100"/>
      <c r="L134" s="44" t="str">
        <f t="shared" ref="L134:L144" si="93">IF(O134&gt;1,"Total","")</f>
        <v/>
      </c>
      <c r="M134" s="46">
        <f t="shared" si="78"/>
        <v>0.75</v>
      </c>
      <c r="N134" s="46"/>
      <c r="O134" s="41">
        <f t="shared" si="50"/>
        <v>0</v>
      </c>
      <c r="P134" s="42">
        <v>67000</v>
      </c>
      <c r="Q134" s="44" t="s">
        <v>3</v>
      </c>
      <c r="R134" s="28" t="s">
        <v>55</v>
      </c>
      <c r="S134" s="48">
        <f t="shared" si="60"/>
        <v>469000</v>
      </c>
      <c r="T134" s="48">
        <f t="shared" si="91"/>
        <v>0</v>
      </c>
      <c r="W134" s="28">
        <v>435</v>
      </c>
      <c r="X134" s="105">
        <v>1.31</v>
      </c>
      <c r="Y134" s="105">
        <v>8.76</v>
      </c>
      <c r="Z134" s="73" t="s">
        <v>1354</v>
      </c>
      <c r="AA134" s="28">
        <v>200</v>
      </c>
    </row>
    <row r="135" spans="1:27" x14ac:dyDescent="0.25">
      <c r="A135" s="4"/>
      <c r="B135" s="98" t="s">
        <v>1325</v>
      </c>
      <c r="C135" s="75" t="s">
        <v>1322</v>
      </c>
      <c r="D135" s="28" t="s">
        <v>1090</v>
      </c>
      <c r="E135" s="28">
        <f t="shared" si="92"/>
        <v>92126</v>
      </c>
      <c r="F135" s="143" t="str">
        <f>INDEX(PV_Summary!$B$18:$B$118,MATCH($E135,PV_Summary!$A$18:$A$118,0))</f>
        <v>N</v>
      </c>
      <c r="G135" s="123">
        <v>32.914425999999999</v>
      </c>
      <c r="H135" s="61">
        <v>-117.12153600000001</v>
      </c>
      <c r="I135" s="44" t="s">
        <v>3</v>
      </c>
      <c r="J135" s="46">
        <f t="shared" si="77"/>
        <v>0.75</v>
      </c>
      <c r="K135" s="100"/>
      <c r="L135" s="44" t="str">
        <f t="shared" si="93"/>
        <v/>
      </c>
      <c r="M135" s="46">
        <f t="shared" si="78"/>
        <v>0.75</v>
      </c>
      <c r="N135" s="46"/>
      <c r="O135" s="41">
        <f t="shared" si="50"/>
        <v>0</v>
      </c>
      <c r="P135" s="42">
        <v>152000</v>
      </c>
      <c r="Q135" s="44" t="s">
        <v>3</v>
      </c>
      <c r="R135" s="28" t="s">
        <v>55</v>
      </c>
      <c r="S135" s="48">
        <f t="shared" si="60"/>
        <v>1064000</v>
      </c>
      <c r="T135" s="48">
        <f t="shared" si="91"/>
        <v>0</v>
      </c>
      <c r="W135" s="28">
        <v>435</v>
      </c>
      <c r="X135" s="105">
        <v>1.31</v>
      </c>
      <c r="Y135" s="105">
        <v>8.76</v>
      </c>
      <c r="Z135" s="73" t="s">
        <v>1354</v>
      </c>
      <c r="AA135" s="28">
        <v>50</v>
      </c>
    </row>
    <row r="136" spans="1:27" x14ac:dyDescent="0.25">
      <c r="A136" s="4"/>
      <c r="B136" s="98" t="s">
        <v>980</v>
      </c>
      <c r="C136" s="75" t="s">
        <v>1322</v>
      </c>
      <c r="D136" s="28" t="s">
        <v>1090</v>
      </c>
      <c r="E136" s="28">
        <f t="shared" si="92"/>
        <v>92126</v>
      </c>
      <c r="F136" s="143" t="str">
        <f>INDEX(PV_Summary!$B$18:$B$118,MATCH($E136,PV_Summary!$A$18:$A$118,0))</f>
        <v>N</v>
      </c>
      <c r="G136" s="123">
        <v>32.915413000000001</v>
      </c>
      <c r="H136" s="61">
        <v>-117.122179</v>
      </c>
      <c r="I136" s="44" t="s">
        <v>37</v>
      </c>
      <c r="J136" s="46">
        <f t="shared" si="77"/>
        <v>0.75</v>
      </c>
      <c r="K136" s="100"/>
      <c r="L136" s="44" t="str">
        <f t="shared" si="93"/>
        <v/>
      </c>
      <c r="M136" s="46">
        <f t="shared" si="78"/>
        <v>0.75</v>
      </c>
      <c r="N136" s="46"/>
      <c r="O136" s="41">
        <f t="shared" si="50"/>
        <v>0</v>
      </c>
      <c r="P136" s="42">
        <v>32000</v>
      </c>
      <c r="Q136" s="44" t="s">
        <v>37</v>
      </c>
      <c r="R136" s="28" t="s">
        <v>56</v>
      </c>
      <c r="S136" s="48">
        <f t="shared" si="60"/>
        <v>192000</v>
      </c>
      <c r="T136" s="48">
        <f t="shared" si="91"/>
        <v>0</v>
      </c>
      <c r="U136" s="28" t="s">
        <v>1111</v>
      </c>
      <c r="W136" s="28">
        <v>438</v>
      </c>
      <c r="X136" s="105">
        <v>1.21</v>
      </c>
      <c r="Y136" s="105">
        <v>8.0500000000000007</v>
      </c>
      <c r="Z136" s="73" t="s">
        <v>1354</v>
      </c>
      <c r="AA136" s="28">
        <v>50</v>
      </c>
    </row>
    <row r="137" spans="1:27" x14ac:dyDescent="0.25">
      <c r="A137" s="4"/>
      <c r="B137" s="98" t="s">
        <v>513</v>
      </c>
      <c r="C137" s="75" t="s">
        <v>1322</v>
      </c>
      <c r="D137" s="28" t="s">
        <v>1090</v>
      </c>
      <c r="E137" s="28">
        <f t="shared" si="92"/>
        <v>92126</v>
      </c>
      <c r="F137" s="143" t="str">
        <f>INDEX(PV_Summary!$B$18:$B$118,MATCH($E137,PV_Summary!$A$18:$A$118,0))</f>
        <v>N</v>
      </c>
      <c r="G137" s="123">
        <v>32.913446999999998</v>
      </c>
      <c r="H137" s="61">
        <v>-117.12151900000001</v>
      </c>
      <c r="I137" s="44" t="s">
        <v>37</v>
      </c>
      <c r="J137" s="46">
        <f t="shared" si="77"/>
        <v>0.75</v>
      </c>
      <c r="K137" s="100"/>
      <c r="L137" s="44" t="str">
        <f t="shared" si="93"/>
        <v/>
      </c>
      <c r="M137" s="46">
        <f t="shared" si="78"/>
        <v>0.75</v>
      </c>
      <c r="N137" s="46"/>
      <c r="O137" s="41">
        <f t="shared" si="50"/>
        <v>0</v>
      </c>
      <c r="P137" s="42">
        <v>101000</v>
      </c>
      <c r="Q137" s="44" t="s">
        <v>37</v>
      </c>
      <c r="R137" s="28" t="s">
        <v>57</v>
      </c>
      <c r="S137" s="48">
        <f t="shared" si="60"/>
        <v>505000</v>
      </c>
      <c r="T137" s="48">
        <f t="shared" si="91"/>
        <v>0</v>
      </c>
      <c r="U137" s="28" t="s">
        <v>1111</v>
      </c>
      <c r="W137" s="28">
        <v>438</v>
      </c>
      <c r="X137" s="105">
        <v>1.21</v>
      </c>
      <c r="Y137" s="105">
        <v>8.0500000000000007</v>
      </c>
      <c r="Z137" s="73" t="s">
        <v>1354</v>
      </c>
      <c r="AA137" s="28">
        <v>0</v>
      </c>
    </row>
    <row r="138" spans="1:27" x14ac:dyDescent="0.25">
      <c r="A138" s="4"/>
      <c r="B138" s="98" t="s">
        <v>1326</v>
      </c>
      <c r="C138" s="75" t="s">
        <v>1322</v>
      </c>
      <c r="D138" s="28" t="s">
        <v>1090</v>
      </c>
      <c r="E138" s="28">
        <f t="shared" si="92"/>
        <v>92126</v>
      </c>
      <c r="F138" s="143" t="str">
        <f>INDEX(PV_Summary!$B$18:$B$118,MATCH($E138,PV_Summary!$A$18:$A$118,0))</f>
        <v>N</v>
      </c>
      <c r="G138" s="123">
        <v>32.915785999999997</v>
      </c>
      <c r="H138" s="61">
        <v>-117.120142</v>
      </c>
      <c r="I138" s="44" t="s">
        <v>3</v>
      </c>
      <c r="J138" s="46">
        <f t="shared" si="77"/>
        <v>0.75</v>
      </c>
      <c r="K138" s="100"/>
      <c r="L138" s="44" t="str">
        <f t="shared" si="93"/>
        <v/>
      </c>
      <c r="M138" s="46">
        <f t="shared" si="78"/>
        <v>0.75</v>
      </c>
      <c r="N138" s="46"/>
      <c r="O138" s="41">
        <f t="shared" si="50"/>
        <v>0</v>
      </c>
      <c r="P138" s="42">
        <v>91000</v>
      </c>
      <c r="Q138" s="44" t="s">
        <v>3</v>
      </c>
      <c r="R138" s="28" t="s">
        <v>55</v>
      </c>
      <c r="S138" s="48">
        <f t="shared" si="60"/>
        <v>637000</v>
      </c>
      <c r="T138" s="48">
        <f t="shared" si="91"/>
        <v>0</v>
      </c>
      <c r="W138" s="28">
        <v>435</v>
      </c>
      <c r="X138" s="105">
        <v>1.31</v>
      </c>
      <c r="Y138" s="105">
        <v>8.76</v>
      </c>
      <c r="Z138" s="73" t="s">
        <v>1354</v>
      </c>
      <c r="AA138" s="28">
        <v>0</v>
      </c>
    </row>
    <row r="139" spans="1:27" x14ac:dyDescent="0.25">
      <c r="A139" s="4"/>
      <c r="B139" s="98" t="s">
        <v>1327</v>
      </c>
      <c r="C139" s="75" t="s">
        <v>1322</v>
      </c>
      <c r="D139" s="28" t="s">
        <v>1090</v>
      </c>
      <c r="E139" s="28">
        <f t="shared" si="92"/>
        <v>92126</v>
      </c>
      <c r="F139" s="143" t="str">
        <f>INDEX(PV_Summary!$B$18:$B$118,MATCH($E139,PV_Summary!$A$18:$A$118,0))</f>
        <v>N</v>
      </c>
      <c r="G139" s="123">
        <v>32.915736000000003</v>
      </c>
      <c r="H139" s="61">
        <v>-117.119409</v>
      </c>
      <c r="I139" s="44" t="s">
        <v>3</v>
      </c>
      <c r="J139" s="46">
        <f t="shared" si="77"/>
        <v>0.75</v>
      </c>
      <c r="K139" s="100"/>
      <c r="L139" s="44" t="str">
        <f t="shared" si="93"/>
        <v/>
      </c>
      <c r="M139" s="46">
        <f t="shared" si="78"/>
        <v>0.75</v>
      </c>
      <c r="N139" s="46"/>
      <c r="O139" s="41">
        <f t="shared" si="50"/>
        <v>0</v>
      </c>
      <c r="P139" s="42">
        <v>124000</v>
      </c>
      <c r="Q139" s="44" t="s">
        <v>3</v>
      </c>
      <c r="R139" s="28" t="s">
        <v>55</v>
      </c>
      <c r="S139" s="48">
        <f t="shared" si="60"/>
        <v>868000</v>
      </c>
      <c r="T139" s="48">
        <f t="shared" si="91"/>
        <v>0</v>
      </c>
      <c r="W139" s="28">
        <v>435</v>
      </c>
      <c r="X139" s="105">
        <v>1.31</v>
      </c>
      <c r="Y139" s="105">
        <v>8.76</v>
      </c>
      <c r="Z139" s="73" t="s">
        <v>1354</v>
      </c>
      <c r="AA139" s="28">
        <v>200</v>
      </c>
    </row>
    <row r="140" spans="1:27" x14ac:dyDescent="0.25">
      <c r="A140" s="4"/>
      <c r="B140" s="98" t="s">
        <v>1328</v>
      </c>
      <c r="C140" s="75" t="s">
        <v>1322</v>
      </c>
      <c r="D140" s="28" t="s">
        <v>1090</v>
      </c>
      <c r="E140" s="28">
        <f t="shared" si="92"/>
        <v>92126</v>
      </c>
      <c r="F140" s="143" t="str">
        <f>INDEX(PV_Summary!$B$18:$B$118,MATCH($E140,PV_Summary!$A$18:$A$118,0))</f>
        <v>N</v>
      </c>
      <c r="G140" s="123">
        <v>32.915571</v>
      </c>
      <c r="H140" s="61">
        <v>-117.11844600000001</v>
      </c>
      <c r="I140" s="44" t="s">
        <v>3</v>
      </c>
      <c r="J140" s="46">
        <f t="shared" si="77"/>
        <v>0.75</v>
      </c>
      <c r="K140" s="100"/>
      <c r="L140" s="44" t="str">
        <f t="shared" si="93"/>
        <v/>
      </c>
      <c r="M140" s="46">
        <f t="shared" si="78"/>
        <v>0.75</v>
      </c>
      <c r="N140" s="46"/>
      <c r="O140" s="41">
        <f t="shared" si="50"/>
        <v>0</v>
      </c>
      <c r="P140" s="42">
        <v>36000</v>
      </c>
      <c r="Q140" s="44" t="s">
        <v>3</v>
      </c>
      <c r="R140" s="28" t="s">
        <v>55</v>
      </c>
      <c r="S140" s="48">
        <f t="shared" si="60"/>
        <v>252000</v>
      </c>
      <c r="T140" s="48">
        <f t="shared" si="91"/>
        <v>0</v>
      </c>
      <c r="W140" s="28">
        <v>435</v>
      </c>
      <c r="X140" s="105">
        <v>1.31</v>
      </c>
      <c r="Y140" s="105">
        <v>8.76</v>
      </c>
      <c r="Z140" s="73" t="s">
        <v>1354</v>
      </c>
      <c r="AA140" s="28">
        <v>500</v>
      </c>
    </row>
    <row r="141" spans="1:27" x14ac:dyDescent="0.25">
      <c r="A141" s="4"/>
      <c r="B141" s="98" t="s">
        <v>1329</v>
      </c>
      <c r="C141" s="75" t="s">
        <v>1322</v>
      </c>
      <c r="D141" s="28" t="s">
        <v>1090</v>
      </c>
      <c r="E141" s="28">
        <f t="shared" si="92"/>
        <v>92126</v>
      </c>
      <c r="F141" s="143" t="str">
        <f>INDEX(PV_Summary!$B$18:$B$118,MATCH($E141,PV_Summary!$A$18:$A$118,0))</f>
        <v>N</v>
      </c>
      <c r="G141" s="123">
        <v>32.916262000000003</v>
      </c>
      <c r="H141" s="61">
        <v>-117.117873</v>
      </c>
      <c r="I141" s="44" t="s">
        <v>3</v>
      </c>
      <c r="J141" s="46">
        <f t="shared" si="77"/>
        <v>0.75</v>
      </c>
      <c r="K141" s="100"/>
      <c r="L141" s="44" t="str">
        <f t="shared" si="93"/>
        <v/>
      </c>
      <c r="M141" s="46">
        <f t="shared" si="78"/>
        <v>0.75</v>
      </c>
      <c r="N141" s="46"/>
      <c r="O141" s="41">
        <f t="shared" si="50"/>
        <v>0</v>
      </c>
      <c r="P141" s="42">
        <v>63000</v>
      </c>
      <c r="Q141" s="44" t="s">
        <v>3</v>
      </c>
      <c r="R141" s="28" t="s">
        <v>55</v>
      </c>
      <c r="S141" s="48">
        <f t="shared" si="60"/>
        <v>441000</v>
      </c>
      <c r="T141" s="48">
        <f t="shared" si="91"/>
        <v>0</v>
      </c>
      <c r="W141" s="28">
        <v>435</v>
      </c>
      <c r="X141" s="105">
        <v>1.31</v>
      </c>
      <c r="Y141" s="105">
        <v>8.76</v>
      </c>
      <c r="Z141" s="73" t="s">
        <v>1354</v>
      </c>
      <c r="AA141" s="28">
        <v>300</v>
      </c>
    </row>
    <row r="142" spans="1:27" x14ac:dyDescent="0.25">
      <c r="A142" s="4"/>
      <c r="B142" s="98" t="s">
        <v>1330</v>
      </c>
      <c r="C142" s="75" t="s">
        <v>1322</v>
      </c>
      <c r="D142" s="28" t="s">
        <v>1090</v>
      </c>
      <c r="E142" s="28">
        <f t="shared" si="92"/>
        <v>92126</v>
      </c>
      <c r="F142" s="143" t="str">
        <f>INDEX(PV_Summary!$B$18:$B$118,MATCH($E142,PV_Summary!$A$18:$A$118,0))</f>
        <v>N</v>
      </c>
      <c r="G142" s="123">
        <v>32.914096999999998</v>
      </c>
      <c r="H142" s="61">
        <v>-117.11763000000001</v>
      </c>
      <c r="I142" s="44" t="s">
        <v>3</v>
      </c>
      <c r="J142" s="46">
        <f t="shared" si="77"/>
        <v>0.75</v>
      </c>
      <c r="K142" s="100"/>
      <c r="L142" s="44" t="str">
        <f t="shared" si="93"/>
        <v/>
      </c>
      <c r="M142" s="46">
        <f t="shared" si="78"/>
        <v>0.75</v>
      </c>
      <c r="N142" s="46"/>
      <c r="O142" s="41">
        <f t="shared" si="50"/>
        <v>0</v>
      </c>
      <c r="P142" s="42">
        <v>37000</v>
      </c>
      <c r="Q142" s="44" t="s">
        <v>3</v>
      </c>
      <c r="R142" s="28" t="s">
        <v>55</v>
      </c>
      <c r="S142" s="48">
        <f t="shared" si="60"/>
        <v>259000</v>
      </c>
      <c r="T142" s="48">
        <f t="shared" si="91"/>
        <v>0</v>
      </c>
      <c r="W142" s="28">
        <v>435</v>
      </c>
      <c r="X142" s="105">
        <v>1.31</v>
      </c>
      <c r="Y142" s="105">
        <v>8.76</v>
      </c>
      <c r="Z142" s="73" t="s">
        <v>1354</v>
      </c>
      <c r="AA142" s="28">
        <v>150</v>
      </c>
    </row>
    <row r="143" spans="1:27" x14ac:dyDescent="0.25">
      <c r="A143" s="4"/>
      <c r="B143" s="98" t="s">
        <v>501</v>
      </c>
      <c r="C143" s="75" t="s">
        <v>1322</v>
      </c>
      <c r="D143" s="28" t="s">
        <v>1090</v>
      </c>
      <c r="E143" s="28">
        <f t="shared" si="92"/>
        <v>92126</v>
      </c>
      <c r="F143" s="143" t="str">
        <f>INDEX(PV_Summary!$B$18:$B$118,MATCH($E143,PV_Summary!$A$18:$A$118,0))</f>
        <v>N</v>
      </c>
      <c r="G143" s="123">
        <v>32.914580999999998</v>
      </c>
      <c r="H143" s="61">
        <v>-117.12003900000001</v>
      </c>
      <c r="I143" s="44" t="s">
        <v>37</v>
      </c>
      <c r="J143" s="46">
        <f t="shared" si="77"/>
        <v>0.75</v>
      </c>
      <c r="K143" s="100"/>
      <c r="L143" s="44" t="str">
        <f t="shared" si="93"/>
        <v/>
      </c>
      <c r="M143" s="46">
        <f t="shared" si="78"/>
        <v>0.75</v>
      </c>
      <c r="N143" s="46"/>
      <c r="O143" s="41">
        <f t="shared" si="50"/>
        <v>0</v>
      </c>
      <c r="P143" s="42">
        <v>24000</v>
      </c>
      <c r="Q143" s="44" t="s">
        <v>37</v>
      </c>
      <c r="R143" s="28" t="s">
        <v>56</v>
      </c>
      <c r="S143" s="48">
        <f t="shared" si="60"/>
        <v>144000</v>
      </c>
      <c r="T143" s="48">
        <f t="shared" si="91"/>
        <v>0</v>
      </c>
      <c r="U143" s="28" t="s">
        <v>1332</v>
      </c>
      <c r="W143" s="28">
        <v>435</v>
      </c>
      <c r="X143" s="105">
        <v>1.31</v>
      </c>
      <c r="Y143" s="105">
        <v>8.76</v>
      </c>
      <c r="Z143" s="73" t="s">
        <v>1354</v>
      </c>
      <c r="AA143" s="28">
        <v>50</v>
      </c>
    </row>
    <row r="144" spans="1:27" x14ac:dyDescent="0.25">
      <c r="A144" s="4"/>
      <c r="B144" s="98" t="s">
        <v>1331</v>
      </c>
      <c r="C144" s="75" t="s">
        <v>1322</v>
      </c>
      <c r="D144" s="28" t="s">
        <v>1090</v>
      </c>
      <c r="E144" s="28">
        <f t="shared" si="92"/>
        <v>92126</v>
      </c>
      <c r="F144" s="143" t="str">
        <f>INDEX(PV_Summary!$B$18:$B$118,MATCH($E144,PV_Summary!$A$18:$A$118,0))</f>
        <v>N</v>
      </c>
      <c r="G144" s="123">
        <v>32.916536000000001</v>
      </c>
      <c r="H144" s="61">
        <v>-117.11944699999999</v>
      </c>
      <c r="I144" s="44" t="s">
        <v>37</v>
      </c>
      <c r="J144" s="46">
        <f t="shared" si="77"/>
        <v>0.75</v>
      </c>
      <c r="K144" s="100"/>
      <c r="L144" s="44" t="str">
        <f t="shared" si="93"/>
        <v/>
      </c>
      <c r="M144" s="46">
        <f t="shared" si="78"/>
        <v>0.75</v>
      </c>
      <c r="N144" s="46"/>
      <c r="O144" s="41">
        <f t="shared" si="50"/>
        <v>0</v>
      </c>
      <c r="P144" s="42">
        <v>18000</v>
      </c>
      <c r="Q144" s="44" t="s">
        <v>37</v>
      </c>
      <c r="R144" s="28" t="s">
        <v>56</v>
      </c>
      <c r="S144" s="48">
        <f t="shared" si="60"/>
        <v>108000</v>
      </c>
      <c r="T144" s="48">
        <f t="shared" si="91"/>
        <v>0</v>
      </c>
      <c r="U144" s="28" t="s">
        <v>1332</v>
      </c>
      <c r="W144" s="28">
        <v>435</v>
      </c>
      <c r="X144" s="105">
        <v>1.1000000000000001</v>
      </c>
      <c r="Y144" s="105">
        <v>8.76</v>
      </c>
      <c r="Z144" s="73" t="s">
        <v>1354</v>
      </c>
      <c r="AA144" s="28">
        <v>0</v>
      </c>
    </row>
    <row r="145" spans="1:27" x14ac:dyDescent="0.25">
      <c r="A145" s="4"/>
      <c r="B145" s="62" t="s">
        <v>1334</v>
      </c>
      <c r="C145" s="75" t="s">
        <v>1333</v>
      </c>
      <c r="D145" s="28" t="s">
        <v>1090</v>
      </c>
      <c r="E145" s="28">
        <f t="shared" ref="E145:E149" si="94">RIGHT(TRIM(D145),5)*1</f>
        <v>92126</v>
      </c>
      <c r="F145" s="143" t="str">
        <f>INDEX(PV_Summary!$B$18:$B$118,MATCH($E145,PV_Summary!$A$18:$A$118,0))</f>
        <v>N</v>
      </c>
      <c r="G145" s="123">
        <v>32.910491</v>
      </c>
      <c r="H145" s="61">
        <v>-117.121009</v>
      </c>
      <c r="I145" s="44" t="s">
        <v>63</v>
      </c>
      <c r="J145" s="46">
        <f t="shared" ca="1" si="77"/>
        <v>1.5</v>
      </c>
      <c r="K145" s="100"/>
      <c r="L145" s="44" t="str">
        <f t="shared" ref="L145:L150" ca="1" si="95">IF(O145&gt;1,"Total","")</f>
        <v>Total</v>
      </c>
      <c r="M145" s="46">
        <f t="shared" ca="1" si="78"/>
        <v>1.25</v>
      </c>
      <c r="N145" s="46"/>
      <c r="O145" s="41">
        <f t="shared" ca="1" si="50"/>
        <v>5</v>
      </c>
      <c r="Q145" s="44"/>
      <c r="S145" s="48">
        <f t="shared" si="60"/>
        <v>0</v>
      </c>
      <c r="T145" s="48">
        <f t="shared" ca="1" si="91"/>
        <v>2436000</v>
      </c>
      <c r="W145" s="28">
        <v>438</v>
      </c>
      <c r="X145" s="105">
        <v>1.21</v>
      </c>
      <c r="Y145" s="105">
        <v>8.0500000000000007</v>
      </c>
      <c r="Z145" s="73" t="s">
        <v>1354</v>
      </c>
      <c r="AA145" s="28"/>
    </row>
    <row r="146" spans="1:27" x14ac:dyDescent="0.25">
      <c r="A146" s="4"/>
      <c r="B146" s="98" t="s">
        <v>1335</v>
      </c>
      <c r="C146" s="75" t="s">
        <v>1333</v>
      </c>
      <c r="D146" s="28" t="s">
        <v>1090</v>
      </c>
      <c r="E146" s="28">
        <f t="shared" si="94"/>
        <v>92126</v>
      </c>
      <c r="F146" s="143" t="str">
        <f>INDEX(PV_Summary!$B$18:$B$118,MATCH($E146,PV_Summary!$A$18:$A$118,0))</f>
        <v>N</v>
      </c>
      <c r="G146" s="123">
        <v>32.910105000000001</v>
      </c>
      <c r="H146" s="61">
        <v>-117.123723</v>
      </c>
      <c r="I146" s="44" t="s">
        <v>210</v>
      </c>
      <c r="J146" s="46">
        <f t="shared" si="77"/>
        <v>0.75</v>
      </c>
      <c r="K146" s="100" t="s">
        <v>157</v>
      </c>
      <c r="L146" s="44" t="str">
        <f t="shared" si="95"/>
        <v/>
      </c>
      <c r="M146" s="46">
        <f t="shared" si="78"/>
        <v>0.75</v>
      </c>
      <c r="N146" s="46"/>
      <c r="O146" s="41">
        <f t="shared" si="50"/>
        <v>0</v>
      </c>
      <c r="Q146" s="44" t="s">
        <v>172</v>
      </c>
      <c r="S146" s="48">
        <f t="shared" si="60"/>
        <v>0</v>
      </c>
      <c r="T146" s="48">
        <f t="shared" si="91"/>
        <v>0</v>
      </c>
      <c r="W146" s="28">
        <v>438</v>
      </c>
      <c r="X146" s="105">
        <v>1.21</v>
      </c>
      <c r="Y146" s="105">
        <v>8.0500000000000007</v>
      </c>
      <c r="Z146" s="73" t="s">
        <v>1354</v>
      </c>
      <c r="AA146" s="28">
        <v>100</v>
      </c>
    </row>
    <row r="147" spans="1:27" x14ac:dyDescent="0.25">
      <c r="A147" s="4"/>
      <c r="B147" s="98" t="s">
        <v>976</v>
      </c>
      <c r="C147" s="75" t="s">
        <v>1333</v>
      </c>
      <c r="D147" s="28" t="s">
        <v>1090</v>
      </c>
      <c r="E147" s="28">
        <f t="shared" si="94"/>
        <v>92126</v>
      </c>
      <c r="F147" s="143" t="str">
        <f>INDEX(PV_Summary!$B$18:$B$118,MATCH($E147,PV_Summary!$A$18:$A$118,0))</f>
        <v>N</v>
      </c>
      <c r="G147" s="123">
        <v>32.910103999999997</v>
      </c>
      <c r="H147" s="61">
        <v>-117.122426</v>
      </c>
      <c r="I147" s="44" t="s">
        <v>3</v>
      </c>
      <c r="J147" s="46">
        <f t="shared" si="77"/>
        <v>0.75</v>
      </c>
      <c r="K147" s="100"/>
      <c r="L147" s="44" t="str">
        <f t="shared" si="95"/>
        <v/>
      </c>
      <c r="M147" s="46">
        <f t="shared" si="78"/>
        <v>0.75</v>
      </c>
      <c r="N147" s="46"/>
      <c r="O147" s="41">
        <f t="shared" si="50"/>
        <v>0</v>
      </c>
      <c r="P147" s="42">
        <v>110000</v>
      </c>
      <c r="Q147" s="44" t="s">
        <v>3</v>
      </c>
      <c r="R147" s="28" t="s">
        <v>55</v>
      </c>
      <c r="S147" s="48">
        <f t="shared" si="60"/>
        <v>770000</v>
      </c>
      <c r="T147" s="48">
        <f t="shared" si="91"/>
        <v>0</v>
      </c>
      <c r="W147" s="28">
        <v>438</v>
      </c>
      <c r="X147" s="105">
        <v>1.21</v>
      </c>
      <c r="Y147" s="105">
        <v>8.0500000000000007</v>
      </c>
      <c r="Z147" s="73" t="s">
        <v>1354</v>
      </c>
      <c r="AA147" s="28">
        <v>550</v>
      </c>
    </row>
    <row r="148" spans="1:27" x14ac:dyDescent="0.25">
      <c r="A148" s="4"/>
      <c r="B148" s="98" t="s">
        <v>977</v>
      </c>
      <c r="C148" s="75" t="s">
        <v>1333</v>
      </c>
      <c r="D148" s="28" t="s">
        <v>1090</v>
      </c>
      <c r="E148" s="28">
        <f t="shared" si="94"/>
        <v>92126</v>
      </c>
      <c r="F148" s="143" t="str">
        <f>INDEX(PV_Summary!$B$18:$B$118,MATCH($E148,PV_Summary!$A$18:$A$118,0))</f>
        <v>N</v>
      </c>
      <c r="G148" s="123">
        <v>32.908898000000001</v>
      </c>
      <c r="H148" s="61">
        <v>-117.12259</v>
      </c>
      <c r="I148" s="44" t="s">
        <v>3</v>
      </c>
      <c r="J148" s="46">
        <f t="shared" si="77"/>
        <v>0.75</v>
      </c>
      <c r="K148" s="100"/>
      <c r="L148" s="44" t="str">
        <f t="shared" si="95"/>
        <v/>
      </c>
      <c r="M148" s="46">
        <f t="shared" si="78"/>
        <v>0.75</v>
      </c>
      <c r="N148" s="46"/>
      <c r="O148" s="41">
        <f t="shared" si="50"/>
        <v>0</v>
      </c>
      <c r="P148" s="42">
        <v>167000</v>
      </c>
      <c r="Q148" s="44" t="s">
        <v>3</v>
      </c>
      <c r="R148" s="28" t="s">
        <v>55</v>
      </c>
      <c r="S148" s="48">
        <f t="shared" si="60"/>
        <v>1169000</v>
      </c>
      <c r="T148" s="48">
        <f t="shared" si="91"/>
        <v>0</v>
      </c>
      <c r="W148" s="28">
        <v>438</v>
      </c>
      <c r="X148" s="105">
        <v>1.21</v>
      </c>
      <c r="Y148" s="105">
        <v>8.0500000000000007</v>
      </c>
      <c r="Z148" s="73" t="s">
        <v>1354</v>
      </c>
      <c r="AA148" s="28">
        <v>550</v>
      </c>
    </row>
    <row r="149" spans="1:27" x14ac:dyDescent="0.25">
      <c r="A149" s="4"/>
      <c r="B149" s="98" t="s">
        <v>991</v>
      </c>
      <c r="C149" s="75" t="s">
        <v>1333</v>
      </c>
      <c r="D149" s="28" t="s">
        <v>1090</v>
      </c>
      <c r="E149" s="28">
        <f t="shared" si="94"/>
        <v>92126</v>
      </c>
      <c r="F149" s="143" t="str">
        <f>INDEX(PV_Summary!$B$18:$B$118,MATCH($E149,PV_Summary!$A$18:$A$118,0))</f>
        <v>N</v>
      </c>
      <c r="G149" s="123">
        <v>32.911361999999997</v>
      </c>
      <c r="H149" s="61">
        <v>-117.11878</v>
      </c>
      <c r="I149" s="44" t="s">
        <v>36</v>
      </c>
      <c r="J149" s="46">
        <f t="shared" si="77"/>
        <v>0.75</v>
      </c>
      <c r="K149" s="100"/>
      <c r="L149" s="44" t="str">
        <f t="shared" si="95"/>
        <v/>
      </c>
      <c r="M149" s="46">
        <f t="shared" si="78"/>
        <v>0.75</v>
      </c>
      <c r="N149" s="46"/>
      <c r="O149" s="41">
        <f t="shared" si="50"/>
        <v>0</v>
      </c>
      <c r="P149" s="42">
        <v>71000</v>
      </c>
      <c r="Q149" s="44" t="s">
        <v>36</v>
      </c>
      <c r="R149" s="28" t="s">
        <v>55</v>
      </c>
      <c r="S149" s="48">
        <f t="shared" si="60"/>
        <v>497000</v>
      </c>
      <c r="T149" s="48">
        <f t="shared" si="91"/>
        <v>0</v>
      </c>
      <c r="W149" s="28">
        <v>438</v>
      </c>
      <c r="X149" s="105">
        <v>1.21</v>
      </c>
      <c r="Y149" s="105">
        <v>8.0500000000000007</v>
      </c>
      <c r="Z149" s="73" t="s">
        <v>1354</v>
      </c>
      <c r="AA149" s="28">
        <v>200</v>
      </c>
    </row>
    <row r="150" spans="1:27" x14ac:dyDescent="0.25">
      <c r="A150" s="4"/>
      <c r="B150" s="28" t="s">
        <v>1006</v>
      </c>
      <c r="C150" s="75" t="s">
        <v>1008</v>
      </c>
      <c r="D150" s="28" t="s">
        <v>1007</v>
      </c>
      <c r="E150" s="28">
        <f t="shared" ref="E150" si="96">RIGHT(TRIM(D150),5)*1</f>
        <v>92145</v>
      </c>
      <c r="F150" s="143" t="str">
        <f>INDEX(PV_Summary!$B$18:$B$118,MATCH($E150,PV_Summary!$A$18:$A$118,0))</f>
        <v>N</v>
      </c>
      <c r="G150" s="123">
        <v>32.869931000000001</v>
      </c>
      <c r="H150" s="61">
        <v>-117.13886599999999</v>
      </c>
      <c r="I150" s="44" t="s">
        <v>76</v>
      </c>
      <c r="J150" s="46">
        <f t="shared" ca="1" si="77"/>
        <v>1.5</v>
      </c>
      <c r="K150" s="100"/>
      <c r="L150" s="44" t="str">
        <f t="shared" ca="1" si="95"/>
        <v>Total</v>
      </c>
      <c r="M150" s="46">
        <f t="shared" ca="1" si="78"/>
        <v>1.25</v>
      </c>
      <c r="N150" s="46"/>
      <c r="O150" s="41">
        <f t="shared" ca="1" si="50"/>
        <v>117</v>
      </c>
      <c r="Q150" s="44"/>
      <c r="S150" s="48">
        <f t="shared" si="60"/>
        <v>0</v>
      </c>
      <c r="T150" s="48">
        <f t="shared" ca="1" si="91"/>
        <v>48236200</v>
      </c>
      <c r="W150" s="28">
        <v>223</v>
      </c>
      <c r="X150" s="105">
        <v>1.42</v>
      </c>
      <c r="Y150" s="105">
        <v>9.4700000000000006</v>
      </c>
      <c r="Z150" s="73" t="s">
        <v>465</v>
      </c>
      <c r="AA150" s="28"/>
    </row>
    <row r="151" spans="1:27" x14ac:dyDescent="0.25">
      <c r="A151" s="4"/>
      <c r="B151" s="98" t="s">
        <v>1009</v>
      </c>
      <c r="C151" s="75" t="s">
        <v>1008</v>
      </c>
      <c r="D151" s="28" t="s">
        <v>1007</v>
      </c>
      <c r="E151" s="28">
        <f t="shared" ref="E151:E158" si="97">RIGHT(TRIM(D151),5)*1</f>
        <v>92145</v>
      </c>
      <c r="F151" s="143" t="str">
        <f>INDEX(PV_Summary!$B$18:$B$118,MATCH($E151,PV_Summary!$A$18:$A$118,0))</f>
        <v>N</v>
      </c>
      <c r="G151" s="123">
        <v>32.876766000000003</v>
      </c>
      <c r="H151" s="61">
        <v>-117.147013</v>
      </c>
      <c r="I151" s="44" t="s">
        <v>3</v>
      </c>
      <c r="J151" s="46">
        <f t="shared" ref="J151:J156" si="98">IF(O151&gt;1,Sym_Scl_Aggr_Parent,IF(O151&lt;1,Sym_Scl_Aggr_Child,Sym_Scl_Normal))</f>
        <v>0.75</v>
      </c>
      <c r="K151" s="100"/>
      <c r="L151" s="44" t="str">
        <f t="shared" ref="L151:L156" si="99">IF(O151&gt;1,"Total","")</f>
        <v/>
      </c>
      <c r="M151" s="46">
        <f t="shared" ref="M151:M156" si="100">IF(O151&gt;1,Label_Scl_Aggr_Parent,IF(O151&lt;1,Label_Scl_Aggr_Child,Label_Scl_Normal))</f>
        <v>0.75</v>
      </c>
      <c r="N151" s="46"/>
      <c r="O151" s="41">
        <f t="shared" ref="O151:O214" si="101">IF($C151=$C150,0,COUNTIFS(Address,$C151))</f>
        <v>0</v>
      </c>
      <c r="P151" s="42">
        <v>275000</v>
      </c>
      <c r="Q151" s="44" t="s">
        <v>3</v>
      </c>
      <c r="R151" s="28" t="s">
        <v>55</v>
      </c>
      <c r="S151" s="48">
        <f t="shared" ref="S151:S293" si="102">IF(ISNUMBER(FIND("Existing",$Q151)),0,IF($P151=0,0,INDEX(PV_W_Type_Rating_Tbl,MATCH($Q151,PV_Type_List,0),MATCH($R151,Rating_List,0)+4*DC_AC_Num)*$P151))</f>
        <v>1925000</v>
      </c>
      <c r="T151" s="48">
        <f t="shared" si="91"/>
        <v>0</v>
      </c>
      <c r="W151" s="28">
        <v>223</v>
      </c>
      <c r="X151" s="105">
        <v>1.42</v>
      </c>
      <c r="Y151" s="105">
        <v>9.4700000000000006</v>
      </c>
      <c r="Z151" s="73" t="s">
        <v>465</v>
      </c>
      <c r="AA151" s="28">
        <v>1600</v>
      </c>
    </row>
    <row r="152" spans="1:27" x14ac:dyDescent="0.25">
      <c r="A152" s="4"/>
      <c r="B152" s="98" t="s">
        <v>1011</v>
      </c>
      <c r="C152" s="75" t="s">
        <v>1008</v>
      </c>
      <c r="D152" s="28" t="s">
        <v>1007</v>
      </c>
      <c r="E152" s="28">
        <f t="shared" si="97"/>
        <v>92145</v>
      </c>
      <c r="F152" s="143" t="str">
        <f>INDEX(PV_Summary!$B$18:$B$118,MATCH($E152,PV_Summary!$A$18:$A$118,0))</f>
        <v>N</v>
      </c>
      <c r="G152" s="123">
        <v>32.876137999999997</v>
      </c>
      <c r="H152" s="61">
        <v>-117.144802</v>
      </c>
      <c r="I152" s="44" t="s">
        <v>3</v>
      </c>
      <c r="J152" s="46">
        <f t="shared" si="98"/>
        <v>0.75</v>
      </c>
      <c r="K152" s="100"/>
      <c r="L152" s="44" t="str">
        <f t="shared" si="99"/>
        <v/>
      </c>
      <c r="M152" s="46">
        <f t="shared" si="100"/>
        <v>0.75</v>
      </c>
      <c r="N152" s="46"/>
      <c r="O152" s="41">
        <f t="shared" si="101"/>
        <v>0</v>
      </c>
      <c r="P152" s="42">
        <v>166000</v>
      </c>
      <c r="Q152" s="44" t="s">
        <v>3</v>
      </c>
      <c r="R152" s="28" t="s">
        <v>55</v>
      </c>
      <c r="S152" s="48">
        <f t="shared" si="102"/>
        <v>1162000</v>
      </c>
      <c r="T152" s="48">
        <f t="shared" si="91"/>
        <v>0</v>
      </c>
      <c r="W152" s="28">
        <v>223</v>
      </c>
      <c r="X152" s="105">
        <v>1.42</v>
      </c>
      <c r="Y152" s="105">
        <v>9.4700000000000006</v>
      </c>
      <c r="Z152" s="73" t="s">
        <v>465</v>
      </c>
      <c r="AA152" s="28">
        <v>2000</v>
      </c>
    </row>
    <row r="153" spans="1:27" x14ac:dyDescent="0.25">
      <c r="A153" s="4"/>
      <c r="B153" s="98" t="s">
        <v>1012</v>
      </c>
      <c r="C153" s="75" t="s">
        <v>1008</v>
      </c>
      <c r="D153" s="28" t="s">
        <v>1007</v>
      </c>
      <c r="E153" s="28">
        <f t="shared" si="97"/>
        <v>92145</v>
      </c>
      <c r="F153" s="143" t="str">
        <f>INDEX(PV_Summary!$B$18:$B$118,MATCH($E153,PV_Summary!$A$18:$A$118,0))</f>
        <v>N</v>
      </c>
      <c r="G153" s="123">
        <v>32.876379</v>
      </c>
      <c r="H153" s="61">
        <v>-117.143854</v>
      </c>
      <c r="I153" s="44" t="s">
        <v>3</v>
      </c>
      <c r="J153" s="46">
        <f t="shared" si="98"/>
        <v>0.75</v>
      </c>
      <c r="K153" s="100"/>
      <c r="L153" s="44" t="str">
        <f t="shared" si="99"/>
        <v/>
      </c>
      <c r="M153" s="46">
        <f t="shared" si="100"/>
        <v>0.75</v>
      </c>
      <c r="N153" s="46"/>
      <c r="O153" s="41">
        <f t="shared" si="101"/>
        <v>0</v>
      </c>
      <c r="P153" s="42">
        <v>38000</v>
      </c>
      <c r="Q153" s="44" t="s">
        <v>3</v>
      </c>
      <c r="R153" s="28" t="s">
        <v>55</v>
      </c>
      <c r="S153" s="48">
        <f t="shared" si="102"/>
        <v>266000</v>
      </c>
      <c r="T153" s="48">
        <f t="shared" si="91"/>
        <v>0</v>
      </c>
      <c r="W153" s="28">
        <v>223</v>
      </c>
      <c r="X153" s="105">
        <v>1.42</v>
      </c>
      <c r="Y153" s="105">
        <v>9.4700000000000006</v>
      </c>
      <c r="Z153" s="73" t="s">
        <v>465</v>
      </c>
      <c r="AA153" s="28">
        <v>2000</v>
      </c>
    </row>
    <row r="154" spans="1:27" x14ac:dyDescent="0.25">
      <c r="A154" s="4"/>
      <c r="B154" s="98" t="s">
        <v>1013</v>
      </c>
      <c r="C154" s="75" t="s">
        <v>1008</v>
      </c>
      <c r="D154" s="28" t="s">
        <v>1007</v>
      </c>
      <c r="E154" s="28">
        <f t="shared" si="97"/>
        <v>92145</v>
      </c>
      <c r="F154" s="143" t="str">
        <f>INDEX(PV_Summary!$B$18:$B$118,MATCH($E154,PV_Summary!$A$18:$A$118,0))</f>
        <v>N</v>
      </c>
      <c r="G154" s="123">
        <v>32.877141000000002</v>
      </c>
      <c r="H154" s="61">
        <v>-117.14179900000001</v>
      </c>
      <c r="I154" s="44" t="s">
        <v>3</v>
      </c>
      <c r="J154" s="46">
        <f t="shared" si="98"/>
        <v>0.75</v>
      </c>
      <c r="K154" s="100"/>
      <c r="L154" s="44" t="str">
        <f t="shared" si="99"/>
        <v/>
      </c>
      <c r="M154" s="46">
        <f t="shared" si="100"/>
        <v>0.75</v>
      </c>
      <c r="N154" s="46"/>
      <c r="O154" s="41">
        <f t="shared" si="101"/>
        <v>0</v>
      </c>
      <c r="P154" s="42">
        <v>50000</v>
      </c>
      <c r="Q154" s="44" t="s">
        <v>3</v>
      </c>
      <c r="R154" s="28" t="s">
        <v>55</v>
      </c>
      <c r="S154" s="48">
        <f t="shared" si="102"/>
        <v>350000</v>
      </c>
      <c r="T154" s="48">
        <f t="shared" si="91"/>
        <v>0</v>
      </c>
      <c r="W154" s="28">
        <v>223</v>
      </c>
      <c r="X154" s="105">
        <v>1.42</v>
      </c>
      <c r="Y154" s="105">
        <v>9.4700000000000006</v>
      </c>
      <c r="Z154" s="73" t="s">
        <v>465</v>
      </c>
      <c r="AA154" s="28">
        <v>1800</v>
      </c>
    </row>
    <row r="155" spans="1:27" x14ac:dyDescent="0.25">
      <c r="A155" s="4"/>
      <c r="B155" s="98" t="s">
        <v>1014</v>
      </c>
      <c r="C155" s="75" t="s">
        <v>1008</v>
      </c>
      <c r="D155" s="28" t="s">
        <v>1007</v>
      </c>
      <c r="E155" s="28">
        <f t="shared" si="97"/>
        <v>92145</v>
      </c>
      <c r="F155" s="143" t="str">
        <f>INDEX(PV_Summary!$B$18:$B$118,MATCH($E155,PV_Summary!$A$18:$A$118,0))</f>
        <v>N</v>
      </c>
      <c r="G155" s="123">
        <v>32.877887999999999</v>
      </c>
      <c r="H155" s="61">
        <v>-117.141352</v>
      </c>
      <c r="I155" s="44" t="s">
        <v>3</v>
      </c>
      <c r="J155" s="46">
        <f t="shared" si="98"/>
        <v>0.75</v>
      </c>
      <c r="K155" s="100"/>
      <c r="L155" s="44" t="str">
        <f t="shared" si="99"/>
        <v/>
      </c>
      <c r="M155" s="46">
        <f t="shared" si="100"/>
        <v>0.75</v>
      </c>
      <c r="N155" s="46"/>
      <c r="O155" s="41">
        <f t="shared" si="101"/>
        <v>0</v>
      </c>
      <c r="P155" s="42">
        <v>73000</v>
      </c>
      <c r="Q155" s="44" t="s">
        <v>3</v>
      </c>
      <c r="R155" s="28" t="s">
        <v>55</v>
      </c>
      <c r="S155" s="48">
        <f t="shared" si="102"/>
        <v>511000</v>
      </c>
      <c r="T155" s="48">
        <f t="shared" si="91"/>
        <v>0</v>
      </c>
      <c r="W155" s="28">
        <v>223</v>
      </c>
      <c r="X155" s="105">
        <v>1.42</v>
      </c>
      <c r="Y155" s="105">
        <v>9.4700000000000006</v>
      </c>
      <c r="Z155" s="73" t="s">
        <v>465</v>
      </c>
      <c r="AA155" s="28">
        <v>1800</v>
      </c>
    </row>
    <row r="156" spans="1:27" x14ac:dyDescent="0.25">
      <c r="A156" s="4"/>
      <c r="B156" s="98" t="s">
        <v>1015</v>
      </c>
      <c r="C156" s="75" t="s">
        <v>1008</v>
      </c>
      <c r="D156" s="28" t="s">
        <v>1007</v>
      </c>
      <c r="E156" s="28">
        <f t="shared" si="97"/>
        <v>92145</v>
      </c>
      <c r="F156" s="143" t="str">
        <f>INDEX(PV_Summary!$B$18:$B$118,MATCH($E156,PV_Summary!$A$18:$A$118,0))</f>
        <v>N</v>
      </c>
      <c r="G156" s="123">
        <v>32.875017</v>
      </c>
      <c r="H156" s="61">
        <v>-117.140381</v>
      </c>
      <c r="I156" s="44" t="s">
        <v>3</v>
      </c>
      <c r="J156" s="46">
        <f t="shared" si="98"/>
        <v>0.75</v>
      </c>
      <c r="K156" s="100"/>
      <c r="L156" s="44" t="str">
        <f t="shared" si="99"/>
        <v/>
      </c>
      <c r="M156" s="46">
        <f t="shared" si="100"/>
        <v>0.75</v>
      </c>
      <c r="N156" s="46"/>
      <c r="O156" s="41">
        <f t="shared" si="101"/>
        <v>0</v>
      </c>
      <c r="P156" s="42">
        <v>24000</v>
      </c>
      <c r="Q156" s="44" t="s">
        <v>3</v>
      </c>
      <c r="R156" s="28" t="s">
        <v>55</v>
      </c>
      <c r="S156" s="48">
        <f t="shared" si="102"/>
        <v>168000</v>
      </c>
      <c r="T156" s="48">
        <f t="shared" si="91"/>
        <v>0</v>
      </c>
      <c r="W156" s="28">
        <v>223</v>
      </c>
      <c r="X156" s="105">
        <v>1.42</v>
      </c>
      <c r="Y156" s="105">
        <v>9.4700000000000006</v>
      </c>
      <c r="Z156" s="73" t="s">
        <v>465</v>
      </c>
      <c r="AA156" s="28">
        <v>2700</v>
      </c>
    </row>
    <row r="157" spans="1:27" x14ac:dyDescent="0.25">
      <c r="A157" s="4"/>
      <c r="B157" s="98" t="s">
        <v>1016</v>
      </c>
      <c r="C157" s="75" t="s">
        <v>1008</v>
      </c>
      <c r="D157" s="28" t="s">
        <v>1007</v>
      </c>
      <c r="E157" s="28">
        <f t="shared" si="97"/>
        <v>92145</v>
      </c>
      <c r="F157" s="143" t="str">
        <f>INDEX(PV_Summary!$B$18:$B$118,MATCH($E157,PV_Summary!$A$18:$A$118,0))</f>
        <v>N</v>
      </c>
      <c r="G157" s="123">
        <v>32.875368999999999</v>
      </c>
      <c r="H157" s="61">
        <v>-117.139861</v>
      </c>
      <c r="I157" s="44" t="s">
        <v>3</v>
      </c>
      <c r="J157" s="46">
        <f t="shared" ref="J157:J165" si="103">IF(O157&gt;1,Sym_Scl_Aggr_Parent,IF(O157&lt;1,Sym_Scl_Aggr_Child,Sym_Scl_Normal))</f>
        <v>0.75</v>
      </c>
      <c r="K157" s="100"/>
      <c r="L157" s="44" t="str">
        <f t="shared" ref="L157:L165" si="104">IF(O157&gt;1,"Total","")</f>
        <v/>
      </c>
      <c r="M157" s="46">
        <f t="shared" ref="M157:M165" si="105">IF(O157&gt;1,Label_Scl_Aggr_Parent,IF(O157&lt;1,Label_Scl_Aggr_Child,Label_Scl_Normal))</f>
        <v>0.75</v>
      </c>
      <c r="N157" s="46"/>
      <c r="O157" s="41">
        <f t="shared" si="101"/>
        <v>0</v>
      </c>
      <c r="P157" s="42">
        <v>40000</v>
      </c>
      <c r="Q157" s="44" t="s">
        <v>3</v>
      </c>
      <c r="R157" s="28" t="s">
        <v>55</v>
      </c>
      <c r="S157" s="48">
        <f t="shared" si="102"/>
        <v>280000</v>
      </c>
      <c r="T157" s="48">
        <f t="shared" si="91"/>
        <v>0</v>
      </c>
      <c r="W157" s="28">
        <v>223</v>
      </c>
      <c r="X157" s="105">
        <v>1.42</v>
      </c>
      <c r="Y157" s="105">
        <v>9.4700000000000006</v>
      </c>
      <c r="Z157" s="73" t="s">
        <v>465</v>
      </c>
      <c r="AA157" s="28">
        <v>2700</v>
      </c>
    </row>
    <row r="158" spans="1:27" x14ac:dyDescent="0.25">
      <c r="A158" s="4"/>
      <c r="B158" s="98" t="s">
        <v>1017</v>
      </c>
      <c r="C158" s="75" t="s">
        <v>1008</v>
      </c>
      <c r="D158" s="28" t="s">
        <v>1007</v>
      </c>
      <c r="E158" s="28">
        <f t="shared" si="97"/>
        <v>92145</v>
      </c>
      <c r="F158" s="143" t="str">
        <f>INDEX(PV_Summary!$B$18:$B$118,MATCH($E158,PV_Summary!$A$18:$A$118,0))</f>
        <v>N</v>
      </c>
      <c r="G158" s="123">
        <v>32.875661999999998</v>
      </c>
      <c r="H158" s="61">
        <v>-117.138569</v>
      </c>
      <c r="I158" s="44" t="s">
        <v>3</v>
      </c>
      <c r="J158" s="46">
        <f t="shared" si="103"/>
        <v>0.75</v>
      </c>
      <c r="K158" s="100"/>
      <c r="L158" s="44" t="str">
        <f t="shared" si="104"/>
        <v/>
      </c>
      <c r="M158" s="46">
        <f t="shared" si="105"/>
        <v>0.75</v>
      </c>
      <c r="N158" s="46"/>
      <c r="O158" s="41">
        <f t="shared" si="101"/>
        <v>0</v>
      </c>
      <c r="P158" s="42">
        <v>36000</v>
      </c>
      <c r="Q158" s="44" t="s">
        <v>3</v>
      </c>
      <c r="R158" s="28" t="s">
        <v>55</v>
      </c>
      <c r="S158" s="48">
        <f t="shared" si="102"/>
        <v>252000</v>
      </c>
      <c r="T158" s="48">
        <f t="shared" si="91"/>
        <v>0</v>
      </c>
      <c r="W158" s="28">
        <v>223</v>
      </c>
      <c r="X158" s="105">
        <v>1.42</v>
      </c>
      <c r="Y158" s="105">
        <v>9.4700000000000006</v>
      </c>
      <c r="Z158" s="73" t="s">
        <v>465</v>
      </c>
      <c r="AA158" s="28">
        <v>2700</v>
      </c>
    </row>
    <row r="159" spans="1:27" x14ac:dyDescent="0.25">
      <c r="A159" s="4"/>
      <c r="B159" s="98" t="s">
        <v>1018</v>
      </c>
      <c r="C159" s="75" t="s">
        <v>1008</v>
      </c>
      <c r="D159" s="28" t="s">
        <v>1007</v>
      </c>
      <c r="E159" s="28">
        <f t="shared" ref="E159:E173" si="106">RIGHT(TRIM(D159),5)*1</f>
        <v>92145</v>
      </c>
      <c r="F159" s="143" t="str">
        <f>INDEX(PV_Summary!$B$18:$B$118,MATCH($E159,PV_Summary!$A$18:$A$118,0))</f>
        <v>N</v>
      </c>
      <c r="G159" s="123">
        <v>32.876528</v>
      </c>
      <c r="H159" s="61">
        <v>-117.13920899999999</v>
      </c>
      <c r="I159" s="44" t="s">
        <v>3</v>
      </c>
      <c r="J159" s="46">
        <f t="shared" si="103"/>
        <v>0.75</v>
      </c>
      <c r="K159" s="100"/>
      <c r="L159" s="44" t="str">
        <f t="shared" si="104"/>
        <v/>
      </c>
      <c r="M159" s="46">
        <f t="shared" si="105"/>
        <v>0.75</v>
      </c>
      <c r="N159" s="46"/>
      <c r="O159" s="41">
        <f t="shared" si="101"/>
        <v>0</v>
      </c>
      <c r="P159" s="42">
        <v>83000</v>
      </c>
      <c r="Q159" s="44" t="s">
        <v>3</v>
      </c>
      <c r="R159" s="28" t="s">
        <v>55</v>
      </c>
      <c r="S159" s="48">
        <f t="shared" si="102"/>
        <v>581000</v>
      </c>
      <c r="T159" s="48">
        <f t="shared" si="91"/>
        <v>0</v>
      </c>
      <c r="W159" s="28">
        <v>223</v>
      </c>
      <c r="X159" s="105">
        <v>1.42</v>
      </c>
      <c r="Y159" s="105">
        <v>9.4700000000000006</v>
      </c>
      <c r="Z159" s="73" t="s">
        <v>465</v>
      </c>
      <c r="AA159" s="28">
        <v>2200</v>
      </c>
    </row>
    <row r="160" spans="1:27" x14ac:dyDescent="0.25">
      <c r="A160" s="4"/>
      <c r="B160" s="98" t="s">
        <v>1019</v>
      </c>
      <c r="C160" s="75" t="s">
        <v>1008</v>
      </c>
      <c r="D160" s="28" t="s">
        <v>1007</v>
      </c>
      <c r="E160" s="28">
        <f t="shared" si="106"/>
        <v>92145</v>
      </c>
      <c r="F160" s="143" t="str">
        <f>INDEX(PV_Summary!$B$18:$B$118,MATCH($E160,PV_Summary!$A$18:$A$118,0))</f>
        <v>N</v>
      </c>
      <c r="G160" s="123">
        <v>32.876593999999997</v>
      </c>
      <c r="H160" s="61">
        <v>-117.135476</v>
      </c>
      <c r="I160" s="44" t="s">
        <v>3</v>
      </c>
      <c r="J160" s="46">
        <f t="shared" si="103"/>
        <v>0.75</v>
      </c>
      <c r="K160" s="100"/>
      <c r="L160" s="44" t="str">
        <f t="shared" si="104"/>
        <v/>
      </c>
      <c r="M160" s="46">
        <f t="shared" si="105"/>
        <v>0.75</v>
      </c>
      <c r="N160" s="46"/>
      <c r="O160" s="41">
        <f t="shared" si="101"/>
        <v>0</v>
      </c>
      <c r="P160" s="42">
        <v>167000</v>
      </c>
      <c r="Q160" s="44" t="s">
        <v>3</v>
      </c>
      <c r="R160" s="28" t="s">
        <v>55</v>
      </c>
      <c r="S160" s="48">
        <f t="shared" si="102"/>
        <v>1169000</v>
      </c>
      <c r="T160" s="48">
        <f t="shared" si="91"/>
        <v>0</v>
      </c>
      <c r="W160" s="28">
        <v>223</v>
      </c>
      <c r="X160" s="105">
        <v>1.42</v>
      </c>
      <c r="Y160" s="105">
        <v>9.4700000000000006</v>
      </c>
      <c r="Z160" s="73" t="s">
        <v>465</v>
      </c>
      <c r="AA160" s="28">
        <v>2300</v>
      </c>
    </row>
    <row r="161" spans="1:27" x14ac:dyDescent="0.25">
      <c r="A161" s="4"/>
      <c r="B161" s="98" t="s">
        <v>1020</v>
      </c>
      <c r="C161" s="75" t="s">
        <v>1008</v>
      </c>
      <c r="D161" s="28" t="s">
        <v>1007</v>
      </c>
      <c r="E161" s="28">
        <f t="shared" si="106"/>
        <v>92145</v>
      </c>
      <c r="F161" s="143" t="str">
        <f>INDEX(PV_Summary!$B$18:$B$118,MATCH($E161,PV_Summary!$A$18:$A$118,0))</f>
        <v>N</v>
      </c>
      <c r="G161" s="123">
        <v>32.877837</v>
      </c>
      <c r="H161" s="61">
        <v>-117.135486</v>
      </c>
      <c r="I161" s="44" t="s">
        <v>3</v>
      </c>
      <c r="J161" s="46">
        <f t="shared" si="103"/>
        <v>0.75</v>
      </c>
      <c r="K161" s="100"/>
      <c r="L161" s="44" t="str">
        <f t="shared" si="104"/>
        <v/>
      </c>
      <c r="M161" s="46">
        <f t="shared" si="105"/>
        <v>0.75</v>
      </c>
      <c r="N161" s="46"/>
      <c r="O161" s="41">
        <f t="shared" si="101"/>
        <v>0</v>
      </c>
      <c r="P161" s="42">
        <v>69000</v>
      </c>
      <c r="Q161" s="44" t="s">
        <v>3</v>
      </c>
      <c r="R161" s="28" t="s">
        <v>55</v>
      </c>
      <c r="S161" s="48">
        <f t="shared" si="102"/>
        <v>483000</v>
      </c>
      <c r="T161" s="48">
        <f t="shared" si="91"/>
        <v>0</v>
      </c>
      <c r="W161" s="28">
        <v>223</v>
      </c>
      <c r="X161" s="105">
        <v>1.42</v>
      </c>
      <c r="Y161" s="105">
        <v>9.4700000000000006</v>
      </c>
      <c r="Z161" s="73" t="s">
        <v>465</v>
      </c>
      <c r="AA161" s="28">
        <v>2000</v>
      </c>
    </row>
    <row r="162" spans="1:27" x14ac:dyDescent="0.25">
      <c r="A162" s="4"/>
      <c r="B162" s="98" t="s">
        <v>1021</v>
      </c>
      <c r="C162" s="75" t="s">
        <v>1008</v>
      </c>
      <c r="D162" s="28" t="s">
        <v>1007</v>
      </c>
      <c r="E162" s="28">
        <f t="shared" si="106"/>
        <v>92145</v>
      </c>
      <c r="F162" s="143" t="str">
        <f>INDEX(PV_Summary!$B$18:$B$118,MATCH($E162,PV_Summary!$A$18:$A$118,0))</f>
        <v>N</v>
      </c>
      <c r="G162" s="123">
        <v>32.877848</v>
      </c>
      <c r="H162" s="61">
        <v>-117.134744</v>
      </c>
      <c r="I162" s="44" t="s">
        <v>3</v>
      </c>
      <c r="J162" s="46">
        <f t="shared" si="103"/>
        <v>0.75</v>
      </c>
      <c r="K162" s="100"/>
      <c r="L162" s="44" t="str">
        <f t="shared" si="104"/>
        <v/>
      </c>
      <c r="M162" s="46">
        <f t="shared" si="105"/>
        <v>0.75</v>
      </c>
      <c r="N162" s="46"/>
      <c r="O162" s="41">
        <f t="shared" si="101"/>
        <v>0</v>
      </c>
      <c r="P162" s="42">
        <v>55000</v>
      </c>
      <c r="Q162" s="44" t="s">
        <v>3</v>
      </c>
      <c r="R162" s="28" t="s">
        <v>55</v>
      </c>
      <c r="S162" s="48">
        <f t="shared" si="102"/>
        <v>385000</v>
      </c>
      <c r="T162" s="48">
        <f t="shared" si="91"/>
        <v>0</v>
      </c>
      <c r="W162" s="28">
        <v>223</v>
      </c>
      <c r="X162" s="105">
        <v>1.42</v>
      </c>
      <c r="Y162" s="105">
        <v>9.4700000000000006</v>
      </c>
      <c r="Z162" s="73" t="s">
        <v>465</v>
      </c>
      <c r="AA162" s="28">
        <v>2000</v>
      </c>
    </row>
    <row r="163" spans="1:27" x14ac:dyDescent="0.25">
      <c r="A163" s="4"/>
      <c r="B163" s="98" t="s">
        <v>1022</v>
      </c>
      <c r="C163" s="75" t="s">
        <v>1008</v>
      </c>
      <c r="D163" s="28" t="s">
        <v>1007</v>
      </c>
      <c r="E163" s="28">
        <f t="shared" si="106"/>
        <v>92145</v>
      </c>
      <c r="F163" s="143" t="str">
        <f>INDEX(PV_Summary!$B$18:$B$118,MATCH($E163,PV_Summary!$A$18:$A$118,0))</f>
        <v>N</v>
      </c>
      <c r="G163" s="123">
        <v>32.877811000000001</v>
      </c>
      <c r="H163" s="61">
        <v>-117.13283699999999</v>
      </c>
      <c r="I163" s="44" t="s">
        <v>3</v>
      </c>
      <c r="J163" s="46">
        <f t="shared" si="103"/>
        <v>0.75</v>
      </c>
      <c r="K163" s="100"/>
      <c r="L163" s="44" t="str">
        <f t="shared" si="104"/>
        <v/>
      </c>
      <c r="M163" s="46">
        <f t="shared" si="105"/>
        <v>0.75</v>
      </c>
      <c r="N163" s="46"/>
      <c r="O163" s="41">
        <f t="shared" si="101"/>
        <v>0</v>
      </c>
      <c r="P163" s="42">
        <v>59000</v>
      </c>
      <c r="Q163" s="44" t="s">
        <v>3</v>
      </c>
      <c r="R163" s="28" t="s">
        <v>55</v>
      </c>
      <c r="S163" s="48">
        <f t="shared" si="102"/>
        <v>413000</v>
      </c>
      <c r="T163" s="48">
        <f t="shared" si="91"/>
        <v>0</v>
      </c>
      <c r="W163" s="28">
        <v>223</v>
      </c>
      <c r="X163" s="105">
        <v>1.42</v>
      </c>
      <c r="Y163" s="105">
        <v>9.4700000000000006</v>
      </c>
      <c r="Z163" s="73" t="s">
        <v>465</v>
      </c>
      <c r="AA163" s="28">
        <v>2100</v>
      </c>
    </row>
    <row r="164" spans="1:27" x14ac:dyDescent="0.25">
      <c r="A164" s="4"/>
      <c r="B164" s="98" t="s">
        <v>1023</v>
      </c>
      <c r="C164" s="75" t="s">
        <v>1008</v>
      </c>
      <c r="D164" s="28" t="s">
        <v>1007</v>
      </c>
      <c r="E164" s="28">
        <f t="shared" si="106"/>
        <v>92145</v>
      </c>
      <c r="F164" s="143" t="str">
        <f>INDEX(PV_Summary!$B$18:$B$118,MATCH($E164,PV_Summary!$A$18:$A$118,0))</f>
        <v>N</v>
      </c>
      <c r="G164" s="123">
        <v>32.878709000000001</v>
      </c>
      <c r="H164" s="61">
        <v>-117.13136900000001</v>
      </c>
      <c r="I164" s="44" t="s">
        <v>3</v>
      </c>
      <c r="J164" s="46">
        <f t="shared" si="103"/>
        <v>0.75</v>
      </c>
      <c r="K164" s="100"/>
      <c r="L164" s="44" t="str">
        <f t="shared" si="104"/>
        <v/>
      </c>
      <c r="M164" s="46">
        <f t="shared" si="105"/>
        <v>0.75</v>
      </c>
      <c r="N164" s="46"/>
      <c r="O164" s="41">
        <f t="shared" si="101"/>
        <v>0</v>
      </c>
      <c r="P164" s="42">
        <v>88000</v>
      </c>
      <c r="Q164" s="44" t="s">
        <v>3</v>
      </c>
      <c r="R164" s="28" t="s">
        <v>55</v>
      </c>
      <c r="S164" s="48">
        <f t="shared" si="102"/>
        <v>616000</v>
      </c>
      <c r="T164" s="48">
        <f t="shared" si="91"/>
        <v>0</v>
      </c>
      <c r="W164" s="28">
        <v>223</v>
      </c>
      <c r="X164" s="105">
        <v>1.42</v>
      </c>
      <c r="Y164" s="105">
        <v>9.4700000000000006</v>
      </c>
      <c r="Z164" s="73" t="s">
        <v>465</v>
      </c>
      <c r="AA164" s="28">
        <v>1900</v>
      </c>
    </row>
    <row r="165" spans="1:27" x14ac:dyDescent="0.25">
      <c r="A165" s="4"/>
      <c r="B165" s="98" t="s">
        <v>1024</v>
      </c>
      <c r="C165" s="75" t="s">
        <v>1008</v>
      </c>
      <c r="D165" s="28" t="s">
        <v>1007</v>
      </c>
      <c r="E165" s="28">
        <f t="shared" si="106"/>
        <v>92145</v>
      </c>
      <c r="F165" s="143" t="str">
        <f>INDEX(PV_Summary!$B$18:$B$118,MATCH($E165,PV_Summary!$A$18:$A$118,0))</f>
        <v>N</v>
      </c>
      <c r="G165" s="123">
        <v>32.878709000000001</v>
      </c>
      <c r="H165" s="61">
        <v>-117.129564</v>
      </c>
      <c r="I165" s="44" t="s">
        <v>3</v>
      </c>
      <c r="J165" s="46">
        <f t="shared" si="103"/>
        <v>0.75</v>
      </c>
      <c r="K165" s="100"/>
      <c r="L165" s="44" t="str">
        <f t="shared" si="104"/>
        <v/>
      </c>
      <c r="M165" s="46">
        <f t="shared" si="105"/>
        <v>0.75</v>
      </c>
      <c r="N165" s="46"/>
      <c r="O165" s="41">
        <f t="shared" si="101"/>
        <v>0</v>
      </c>
      <c r="P165" s="42">
        <v>106000</v>
      </c>
      <c r="Q165" s="44" t="s">
        <v>3</v>
      </c>
      <c r="R165" s="28" t="s">
        <v>55</v>
      </c>
      <c r="S165" s="48">
        <f t="shared" si="102"/>
        <v>742000</v>
      </c>
      <c r="T165" s="48">
        <f t="shared" si="91"/>
        <v>0</v>
      </c>
      <c r="W165" s="28">
        <v>223</v>
      </c>
      <c r="X165" s="105">
        <v>1.42</v>
      </c>
      <c r="Y165" s="105">
        <v>9.4700000000000006</v>
      </c>
      <c r="Z165" s="73" t="s">
        <v>465</v>
      </c>
      <c r="AA165" s="28">
        <v>1900</v>
      </c>
    </row>
    <row r="166" spans="1:27" x14ac:dyDescent="0.25">
      <c r="A166" s="4"/>
      <c r="B166" s="98" t="s">
        <v>1025</v>
      </c>
      <c r="C166" s="75" t="s">
        <v>1008</v>
      </c>
      <c r="D166" s="28" t="s">
        <v>1007</v>
      </c>
      <c r="E166" s="28">
        <f t="shared" si="106"/>
        <v>92145</v>
      </c>
      <c r="F166" s="143" t="str">
        <f>INDEX(PV_Summary!$B$18:$B$118,MATCH($E166,PV_Summary!$A$18:$A$118,0))</f>
        <v>N</v>
      </c>
      <c r="G166" s="123">
        <v>32.878822</v>
      </c>
      <c r="H166" s="61">
        <v>-117.125139</v>
      </c>
      <c r="I166" s="44" t="s">
        <v>3</v>
      </c>
      <c r="J166" s="46">
        <f t="shared" ref="J166:J171" si="107">IF(O166&gt;1,Sym_Scl_Aggr_Parent,IF(O166&lt;1,Sym_Scl_Aggr_Child,Sym_Scl_Normal))</f>
        <v>0.75</v>
      </c>
      <c r="K166" s="100"/>
      <c r="L166" s="44" t="str">
        <f t="shared" ref="L166:L171" si="108">IF(O166&gt;1,"Total","")</f>
        <v/>
      </c>
      <c r="M166" s="46">
        <f t="shared" ref="M166:M171" si="109">IF(O166&gt;1,Label_Scl_Aggr_Parent,IF(O166&lt;1,Label_Scl_Aggr_Child,Label_Scl_Normal))</f>
        <v>0.75</v>
      </c>
      <c r="N166" s="46"/>
      <c r="O166" s="41">
        <f t="shared" si="101"/>
        <v>0</v>
      </c>
      <c r="P166" s="42">
        <v>180000</v>
      </c>
      <c r="Q166" s="44" t="s">
        <v>3</v>
      </c>
      <c r="R166" s="28" t="s">
        <v>55</v>
      </c>
      <c r="S166" s="48">
        <f t="shared" si="102"/>
        <v>1260000</v>
      </c>
      <c r="T166" s="48">
        <f t="shared" si="91"/>
        <v>0</v>
      </c>
      <c r="W166" s="28">
        <v>223</v>
      </c>
      <c r="X166" s="105">
        <v>1.42</v>
      </c>
      <c r="Y166" s="105">
        <v>9.4700000000000006</v>
      </c>
      <c r="Z166" s="73" t="s">
        <v>465</v>
      </c>
      <c r="AA166" s="28">
        <v>1900</v>
      </c>
    </row>
    <row r="167" spans="1:27" x14ac:dyDescent="0.25">
      <c r="A167" s="4"/>
      <c r="B167" s="98" t="s">
        <v>1026</v>
      </c>
      <c r="C167" s="75" t="s">
        <v>1008</v>
      </c>
      <c r="D167" s="28" t="s">
        <v>1007</v>
      </c>
      <c r="E167" s="28">
        <f t="shared" ref="E167:E168" si="110">RIGHT(TRIM(D167),5)*1</f>
        <v>92145</v>
      </c>
      <c r="F167" s="143" t="str">
        <f>INDEX(PV_Summary!$B$18:$B$118,MATCH($E167,PV_Summary!$A$18:$A$118,0))</f>
        <v>N</v>
      </c>
      <c r="G167" s="123">
        <v>32.878562000000002</v>
      </c>
      <c r="H167" s="61">
        <v>-117.120155</v>
      </c>
      <c r="I167" s="44" t="s">
        <v>3</v>
      </c>
      <c r="J167" s="46">
        <f t="shared" si="107"/>
        <v>0.75</v>
      </c>
      <c r="K167" s="100"/>
      <c r="L167" s="44" t="str">
        <f t="shared" si="108"/>
        <v/>
      </c>
      <c r="M167" s="46">
        <f t="shared" si="109"/>
        <v>0.75</v>
      </c>
      <c r="N167" s="46"/>
      <c r="O167" s="41">
        <f t="shared" si="101"/>
        <v>0</v>
      </c>
      <c r="P167" s="42">
        <v>31000</v>
      </c>
      <c r="Q167" s="44" t="s">
        <v>3</v>
      </c>
      <c r="R167" s="28" t="s">
        <v>55</v>
      </c>
      <c r="S167" s="48">
        <f t="shared" si="102"/>
        <v>217000</v>
      </c>
      <c r="T167" s="48">
        <f t="shared" si="91"/>
        <v>0</v>
      </c>
      <c r="W167" s="28">
        <v>223</v>
      </c>
      <c r="X167" s="105">
        <v>1.42</v>
      </c>
      <c r="Y167" s="105">
        <v>9.4700000000000006</v>
      </c>
      <c r="Z167" s="73" t="s">
        <v>465</v>
      </c>
      <c r="AA167" s="28">
        <v>2000</v>
      </c>
    </row>
    <row r="168" spans="1:27" x14ac:dyDescent="0.25">
      <c r="A168" s="4"/>
      <c r="B168" s="98" t="s">
        <v>1027</v>
      </c>
      <c r="C168" s="75" t="s">
        <v>1008</v>
      </c>
      <c r="D168" s="28" t="s">
        <v>1007</v>
      </c>
      <c r="E168" s="28">
        <f t="shared" si="110"/>
        <v>92145</v>
      </c>
      <c r="F168" s="143" t="str">
        <f>INDEX(PV_Summary!$B$18:$B$118,MATCH($E168,PV_Summary!$A$18:$A$118,0))</f>
        <v>N</v>
      </c>
      <c r="G168" s="123">
        <v>32.879174999999996</v>
      </c>
      <c r="H168" s="61">
        <v>-117.119691</v>
      </c>
      <c r="I168" s="44" t="s">
        <v>3</v>
      </c>
      <c r="J168" s="46">
        <f t="shared" si="107"/>
        <v>0.75</v>
      </c>
      <c r="K168" s="100"/>
      <c r="L168" s="44" t="str">
        <f t="shared" si="108"/>
        <v/>
      </c>
      <c r="M168" s="46">
        <f t="shared" si="109"/>
        <v>0.75</v>
      </c>
      <c r="N168" s="46"/>
      <c r="O168" s="41">
        <f t="shared" si="101"/>
        <v>0</v>
      </c>
      <c r="P168" s="42">
        <v>22000</v>
      </c>
      <c r="Q168" s="44" t="s">
        <v>3</v>
      </c>
      <c r="R168" s="28" t="s">
        <v>55</v>
      </c>
      <c r="S168" s="48">
        <f t="shared" si="102"/>
        <v>154000</v>
      </c>
      <c r="T168" s="48">
        <f t="shared" si="91"/>
        <v>0</v>
      </c>
      <c r="W168" s="28">
        <v>223</v>
      </c>
      <c r="X168" s="105">
        <v>1.42</v>
      </c>
      <c r="Y168" s="105">
        <v>9.4700000000000006</v>
      </c>
      <c r="Z168" s="73" t="s">
        <v>465</v>
      </c>
      <c r="AA168" s="28">
        <v>1900</v>
      </c>
    </row>
    <row r="169" spans="1:27" x14ac:dyDescent="0.25">
      <c r="A169" s="4"/>
      <c r="B169" s="98" t="s">
        <v>1028</v>
      </c>
      <c r="C169" s="75" t="s">
        <v>1008</v>
      </c>
      <c r="D169" s="28" t="s">
        <v>1007</v>
      </c>
      <c r="E169" s="28">
        <f t="shared" si="106"/>
        <v>92145</v>
      </c>
      <c r="F169" s="143" t="str">
        <f>INDEX(PV_Summary!$B$18:$B$118,MATCH($E169,PV_Summary!$A$18:$A$118,0))</f>
        <v>N</v>
      </c>
      <c r="G169" s="123">
        <v>32.881726999999998</v>
      </c>
      <c r="H169" s="61">
        <v>-117.12584699999999</v>
      </c>
      <c r="I169" s="44" t="s">
        <v>3</v>
      </c>
      <c r="J169" s="46">
        <f t="shared" si="107"/>
        <v>0.75</v>
      </c>
      <c r="K169" s="100"/>
      <c r="L169" s="44" t="str">
        <f t="shared" si="108"/>
        <v/>
      </c>
      <c r="M169" s="46">
        <f t="shared" si="109"/>
        <v>0.75</v>
      </c>
      <c r="N169" s="46"/>
      <c r="O169" s="41">
        <f t="shared" si="101"/>
        <v>0</v>
      </c>
      <c r="P169" s="42">
        <v>115000</v>
      </c>
      <c r="Q169" s="44" t="s">
        <v>3</v>
      </c>
      <c r="R169" s="28" t="s">
        <v>55</v>
      </c>
      <c r="S169" s="48">
        <f t="shared" si="102"/>
        <v>805000</v>
      </c>
      <c r="T169" s="48">
        <f t="shared" si="91"/>
        <v>0</v>
      </c>
      <c r="W169" s="28">
        <v>223</v>
      </c>
      <c r="X169" s="105">
        <v>1.42</v>
      </c>
      <c r="Y169" s="105">
        <v>9.4700000000000006</v>
      </c>
      <c r="Z169" s="73" t="s">
        <v>465</v>
      </c>
      <c r="AA169" s="28">
        <v>650</v>
      </c>
    </row>
    <row r="170" spans="1:27" x14ac:dyDescent="0.25">
      <c r="A170" s="4"/>
      <c r="B170" s="98" t="s">
        <v>1029</v>
      </c>
      <c r="C170" s="75" t="s">
        <v>1008</v>
      </c>
      <c r="D170" s="28" t="s">
        <v>1007</v>
      </c>
      <c r="E170" s="28">
        <f t="shared" si="106"/>
        <v>92145</v>
      </c>
      <c r="F170" s="143" t="str">
        <f>INDEX(PV_Summary!$B$18:$B$118,MATCH($E170,PV_Summary!$A$18:$A$118,0))</f>
        <v>N</v>
      </c>
      <c r="G170" s="123">
        <v>32.880915999999999</v>
      </c>
      <c r="H170" s="61">
        <v>-117.134918</v>
      </c>
      <c r="I170" s="44" t="s">
        <v>3</v>
      </c>
      <c r="J170" s="46">
        <f t="shared" si="107"/>
        <v>0.75</v>
      </c>
      <c r="K170" s="100"/>
      <c r="L170" s="44" t="str">
        <f t="shared" si="108"/>
        <v/>
      </c>
      <c r="M170" s="46">
        <f t="shared" si="109"/>
        <v>0.75</v>
      </c>
      <c r="N170" s="46"/>
      <c r="O170" s="41">
        <f t="shared" si="101"/>
        <v>0</v>
      </c>
      <c r="P170" s="42">
        <v>85000</v>
      </c>
      <c r="Q170" s="44" t="s">
        <v>3</v>
      </c>
      <c r="R170" s="28" t="s">
        <v>55</v>
      </c>
      <c r="S170" s="48">
        <f t="shared" si="102"/>
        <v>595000</v>
      </c>
      <c r="T170" s="48">
        <f t="shared" si="91"/>
        <v>0</v>
      </c>
      <c r="W170" s="28">
        <v>223</v>
      </c>
      <c r="X170" s="105">
        <v>1.42</v>
      </c>
      <c r="Y170" s="105">
        <v>9.4700000000000006</v>
      </c>
      <c r="Z170" s="73" t="s">
        <v>465</v>
      </c>
      <c r="AA170" s="28">
        <v>900</v>
      </c>
    </row>
    <row r="171" spans="1:27" x14ac:dyDescent="0.25">
      <c r="A171" s="4"/>
      <c r="B171" s="98" t="s">
        <v>1030</v>
      </c>
      <c r="C171" s="75" t="s">
        <v>1008</v>
      </c>
      <c r="D171" s="28" t="s">
        <v>1007</v>
      </c>
      <c r="E171" s="28">
        <f t="shared" si="106"/>
        <v>92145</v>
      </c>
      <c r="F171" s="143" t="str">
        <f>INDEX(PV_Summary!$B$18:$B$118,MATCH($E171,PV_Summary!$A$18:$A$118,0))</f>
        <v>N</v>
      </c>
      <c r="G171" s="123">
        <v>32.882069999999999</v>
      </c>
      <c r="H171" s="61">
        <v>-117.13495500000001</v>
      </c>
      <c r="I171" s="44" t="s">
        <v>3</v>
      </c>
      <c r="J171" s="46">
        <f t="shared" si="107"/>
        <v>0.75</v>
      </c>
      <c r="K171" s="100"/>
      <c r="L171" s="44" t="str">
        <f t="shared" si="108"/>
        <v/>
      </c>
      <c r="M171" s="46">
        <f t="shared" si="109"/>
        <v>0.75</v>
      </c>
      <c r="N171" s="46"/>
      <c r="O171" s="41">
        <f t="shared" si="101"/>
        <v>0</v>
      </c>
      <c r="P171" s="42">
        <v>76000</v>
      </c>
      <c r="Q171" s="44" t="s">
        <v>3</v>
      </c>
      <c r="R171" s="28" t="s">
        <v>55</v>
      </c>
      <c r="S171" s="48">
        <f t="shared" si="102"/>
        <v>532000</v>
      </c>
      <c r="T171" s="48">
        <f t="shared" si="91"/>
        <v>0</v>
      </c>
      <c r="W171" s="28">
        <v>223</v>
      </c>
      <c r="X171" s="105">
        <v>1.42</v>
      </c>
      <c r="Y171" s="105">
        <v>9.4700000000000006</v>
      </c>
      <c r="Z171" s="73" t="s">
        <v>465</v>
      </c>
      <c r="AA171" s="28">
        <v>400</v>
      </c>
    </row>
    <row r="172" spans="1:27" x14ac:dyDescent="0.25">
      <c r="A172" s="4"/>
      <c r="B172" s="98" t="s">
        <v>1031</v>
      </c>
      <c r="C172" s="75" t="s">
        <v>1008</v>
      </c>
      <c r="D172" s="28" t="s">
        <v>1007</v>
      </c>
      <c r="E172" s="28">
        <f t="shared" si="106"/>
        <v>92145</v>
      </c>
      <c r="F172" s="143" t="str">
        <f>INDEX(PV_Summary!$B$18:$B$118,MATCH($E172,PV_Summary!$A$18:$A$118,0))</f>
        <v>N</v>
      </c>
      <c r="G172" s="123">
        <v>32.883175999999999</v>
      </c>
      <c r="H172" s="61">
        <v>-117.134404</v>
      </c>
      <c r="I172" s="44" t="s">
        <v>3</v>
      </c>
      <c r="J172" s="46">
        <f t="shared" ref="J172:J175" si="111">IF(O172&gt;1,Sym_Scl_Aggr_Parent,IF(O172&lt;1,Sym_Scl_Aggr_Child,Sym_Scl_Normal))</f>
        <v>0.75</v>
      </c>
      <c r="K172" s="100"/>
      <c r="L172" s="44" t="str">
        <f t="shared" ref="L172:L175" si="112">IF(O172&gt;1,"Total","")</f>
        <v/>
      </c>
      <c r="M172" s="46">
        <f t="shared" ref="M172:M175" si="113">IF(O172&gt;1,Label_Scl_Aggr_Parent,IF(O172&lt;1,Label_Scl_Aggr_Child,Label_Scl_Normal))</f>
        <v>0.75</v>
      </c>
      <c r="N172" s="46"/>
      <c r="O172" s="41">
        <f t="shared" si="101"/>
        <v>0</v>
      </c>
      <c r="P172" s="42">
        <v>93000</v>
      </c>
      <c r="Q172" s="44" t="s">
        <v>3</v>
      </c>
      <c r="R172" s="28" t="s">
        <v>55</v>
      </c>
      <c r="S172" s="48">
        <f t="shared" si="102"/>
        <v>651000</v>
      </c>
      <c r="T172" s="48">
        <f t="shared" si="91"/>
        <v>0</v>
      </c>
      <c r="W172" s="28">
        <v>223</v>
      </c>
      <c r="X172" s="105">
        <v>1.42</v>
      </c>
      <c r="Y172" s="105">
        <v>9.4700000000000006</v>
      </c>
      <c r="Z172" s="73" t="s">
        <v>465</v>
      </c>
      <c r="AA172" s="28">
        <v>150</v>
      </c>
    </row>
    <row r="173" spans="1:27" x14ac:dyDescent="0.25">
      <c r="A173" s="4"/>
      <c r="B173" s="98" t="s">
        <v>1104</v>
      </c>
      <c r="C173" s="75" t="s">
        <v>1008</v>
      </c>
      <c r="D173" s="28" t="s">
        <v>1007</v>
      </c>
      <c r="E173" s="28">
        <f t="shared" si="106"/>
        <v>92145</v>
      </c>
      <c r="F173" s="143" t="str">
        <f>INDEX(PV_Summary!$B$18:$B$118,MATCH($E173,PV_Summary!$A$18:$A$118,0))</f>
        <v>N</v>
      </c>
      <c r="G173" s="123">
        <v>32.880947999999997</v>
      </c>
      <c r="H173" s="61">
        <v>-117.148132</v>
      </c>
      <c r="I173" s="44" t="s">
        <v>3</v>
      </c>
      <c r="J173" s="46">
        <f t="shared" si="111"/>
        <v>0.75</v>
      </c>
      <c r="K173" s="100"/>
      <c r="L173" s="44" t="str">
        <f t="shared" si="112"/>
        <v/>
      </c>
      <c r="M173" s="46">
        <f t="shared" si="113"/>
        <v>0.75</v>
      </c>
      <c r="N173" s="46"/>
      <c r="O173" s="41">
        <f t="shared" si="101"/>
        <v>0</v>
      </c>
      <c r="P173" s="42">
        <v>73000</v>
      </c>
      <c r="Q173" s="44" t="s">
        <v>3</v>
      </c>
      <c r="R173" s="28" t="s">
        <v>55</v>
      </c>
      <c r="S173" s="48">
        <f t="shared" si="102"/>
        <v>511000</v>
      </c>
      <c r="T173" s="48">
        <f t="shared" si="91"/>
        <v>0</v>
      </c>
      <c r="W173" s="28">
        <v>223</v>
      </c>
      <c r="X173" s="105">
        <v>1.42</v>
      </c>
      <c r="Y173" s="105">
        <v>9.4700000000000006</v>
      </c>
      <c r="Z173" s="73" t="s">
        <v>465</v>
      </c>
      <c r="AA173" s="28">
        <v>100</v>
      </c>
    </row>
    <row r="174" spans="1:27" x14ac:dyDescent="0.25">
      <c r="A174" s="4"/>
      <c r="B174" s="98" t="s">
        <v>1105</v>
      </c>
      <c r="C174" s="75" t="s">
        <v>1008</v>
      </c>
      <c r="D174" s="28" t="s">
        <v>1007</v>
      </c>
      <c r="E174" s="28">
        <f t="shared" ref="E174" si="114">RIGHT(TRIM(D174),5)*1</f>
        <v>92145</v>
      </c>
      <c r="F174" s="143" t="str">
        <f>INDEX(PV_Summary!$B$18:$B$118,MATCH($E174,PV_Summary!$A$18:$A$118,0))</f>
        <v>N</v>
      </c>
      <c r="G174" s="123">
        <v>32.880706000000004</v>
      </c>
      <c r="H174" s="61">
        <v>-117.15173900000001</v>
      </c>
      <c r="I174" s="44" t="s">
        <v>3</v>
      </c>
      <c r="J174" s="46">
        <f t="shared" si="111"/>
        <v>0.75</v>
      </c>
      <c r="K174" s="100"/>
      <c r="L174" s="44" t="str">
        <f t="shared" si="112"/>
        <v/>
      </c>
      <c r="M174" s="46">
        <f t="shared" si="113"/>
        <v>0.75</v>
      </c>
      <c r="N174" s="46"/>
      <c r="O174" s="41">
        <f t="shared" si="101"/>
        <v>0</v>
      </c>
      <c r="P174" s="42">
        <v>38000</v>
      </c>
      <c r="Q174" s="44" t="s">
        <v>3</v>
      </c>
      <c r="R174" s="28" t="s">
        <v>55</v>
      </c>
      <c r="S174" s="48">
        <f t="shared" si="102"/>
        <v>266000</v>
      </c>
      <c r="T174" s="48">
        <f t="shared" si="91"/>
        <v>0</v>
      </c>
      <c r="W174" s="28">
        <v>223</v>
      </c>
      <c r="X174" s="105">
        <v>1.42</v>
      </c>
      <c r="Y174" s="105">
        <v>9.4700000000000006</v>
      </c>
      <c r="Z174" s="73" t="s">
        <v>465</v>
      </c>
      <c r="AA174" s="28">
        <v>0</v>
      </c>
    </row>
    <row r="175" spans="1:27" x14ac:dyDescent="0.25">
      <c r="A175" s="4"/>
      <c r="B175" s="98" t="s">
        <v>1032</v>
      </c>
      <c r="C175" s="75" t="s">
        <v>1008</v>
      </c>
      <c r="D175" s="28" t="s">
        <v>1007</v>
      </c>
      <c r="E175" s="28">
        <f t="shared" ref="E175:E177" si="115">RIGHT(TRIM(D175),5)*1</f>
        <v>92145</v>
      </c>
      <c r="F175" s="143" t="str">
        <f>INDEX(PV_Summary!$B$18:$B$118,MATCH($E175,PV_Summary!$A$18:$A$118,0))</f>
        <v>N</v>
      </c>
      <c r="G175" s="123">
        <v>32.884101999999999</v>
      </c>
      <c r="H175" s="61">
        <v>-117.13822399999999</v>
      </c>
      <c r="I175" s="44" t="s">
        <v>3</v>
      </c>
      <c r="J175" s="46">
        <f t="shared" si="111"/>
        <v>0.75</v>
      </c>
      <c r="K175" s="100"/>
      <c r="L175" s="44" t="str">
        <f t="shared" si="112"/>
        <v/>
      </c>
      <c r="M175" s="46">
        <f t="shared" si="113"/>
        <v>0.75</v>
      </c>
      <c r="N175" s="46"/>
      <c r="O175" s="41">
        <f t="shared" si="101"/>
        <v>0</v>
      </c>
      <c r="P175" s="42">
        <v>14000</v>
      </c>
      <c r="Q175" s="44" t="s">
        <v>3</v>
      </c>
      <c r="R175" s="28" t="s">
        <v>55</v>
      </c>
      <c r="S175" s="48">
        <f t="shared" si="102"/>
        <v>98000</v>
      </c>
      <c r="T175" s="48">
        <f t="shared" si="91"/>
        <v>0</v>
      </c>
      <c r="W175" s="28">
        <v>223</v>
      </c>
      <c r="X175" s="105">
        <v>1.42</v>
      </c>
      <c r="Y175" s="105">
        <v>9.4700000000000006</v>
      </c>
      <c r="Z175" s="73" t="s">
        <v>465</v>
      </c>
      <c r="AA175" s="28">
        <v>200</v>
      </c>
    </row>
    <row r="176" spans="1:27" x14ac:dyDescent="0.25">
      <c r="A176" s="4"/>
      <c r="B176" s="98" t="s">
        <v>1033</v>
      </c>
      <c r="C176" s="75" t="s">
        <v>1008</v>
      </c>
      <c r="D176" s="28" t="s">
        <v>1007</v>
      </c>
      <c r="E176" s="28">
        <f t="shared" si="115"/>
        <v>92145</v>
      </c>
      <c r="F176" s="143" t="str">
        <f>INDEX(PV_Summary!$B$18:$B$118,MATCH($E176,PV_Summary!$A$18:$A$118,0))</f>
        <v>N</v>
      </c>
      <c r="G176" s="123">
        <v>32.886015999999998</v>
      </c>
      <c r="H176" s="61">
        <v>-117.138238</v>
      </c>
      <c r="I176" s="44" t="s">
        <v>3</v>
      </c>
      <c r="J176" s="46">
        <f t="shared" ref="J176:J177" si="116">IF(O176&gt;1,Sym_Scl_Aggr_Parent,IF(O176&lt;1,Sym_Scl_Aggr_Child,Sym_Scl_Normal))</f>
        <v>0.75</v>
      </c>
      <c r="K176" s="100"/>
      <c r="L176" s="44" t="str">
        <f t="shared" ref="L176:L177" si="117">IF(O176&gt;1,"Total","")</f>
        <v/>
      </c>
      <c r="M176" s="46">
        <f t="shared" ref="M176:M177" si="118">IF(O176&gt;1,Label_Scl_Aggr_Parent,IF(O176&lt;1,Label_Scl_Aggr_Child,Label_Scl_Normal))</f>
        <v>0.75</v>
      </c>
      <c r="N176" s="46"/>
      <c r="O176" s="41">
        <f t="shared" si="101"/>
        <v>0</v>
      </c>
      <c r="P176" s="42">
        <v>54000</v>
      </c>
      <c r="Q176" s="44" t="s">
        <v>3</v>
      </c>
      <c r="R176" s="28" t="s">
        <v>55</v>
      </c>
      <c r="S176" s="48">
        <f t="shared" si="102"/>
        <v>378000</v>
      </c>
      <c r="T176" s="48">
        <f t="shared" si="91"/>
        <v>0</v>
      </c>
      <c r="W176" s="28">
        <v>223</v>
      </c>
      <c r="X176" s="105">
        <v>1.42</v>
      </c>
      <c r="Y176" s="105">
        <v>9.4700000000000006</v>
      </c>
      <c r="Z176" s="73" t="s">
        <v>465</v>
      </c>
      <c r="AA176" s="28">
        <v>900</v>
      </c>
    </row>
    <row r="177" spans="1:27" x14ac:dyDescent="0.25">
      <c r="A177" s="4"/>
      <c r="B177" s="98" t="s">
        <v>1034</v>
      </c>
      <c r="C177" s="75" t="s">
        <v>1008</v>
      </c>
      <c r="D177" s="28" t="s">
        <v>1007</v>
      </c>
      <c r="E177" s="28">
        <f t="shared" si="115"/>
        <v>92145</v>
      </c>
      <c r="F177" s="143" t="str">
        <f>INDEX(PV_Summary!$B$18:$B$118,MATCH($E177,PV_Summary!$A$18:$A$118,0))</f>
        <v>N</v>
      </c>
      <c r="G177" s="123">
        <v>32.887194000000001</v>
      </c>
      <c r="H177" s="61">
        <v>-117.139011</v>
      </c>
      <c r="I177" s="44" t="s">
        <v>3</v>
      </c>
      <c r="J177" s="46">
        <f t="shared" si="116"/>
        <v>0.75</v>
      </c>
      <c r="K177" s="100"/>
      <c r="L177" s="44" t="str">
        <f t="shared" si="117"/>
        <v/>
      </c>
      <c r="M177" s="46">
        <f t="shared" si="118"/>
        <v>0.75</v>
      </c>
      <c r="N177" s="46"/>
      <c r="O177" s="41">
        <f t="shared" si="101"/>
        <v>0</v>
      </c>
      <c r="P177" s="42">
        <v>28000</v>
      </c>
      <c r="Q177" s="44" t="s">
        <v>3</v>
      </c>
      <c r="R177" s="28" t="s">
        <v>55</v>
      </c>
      <c r="S177" s="48">
        <f t="shared" si="102"/>
        <v>196000</v>
      </c>
      <c r="T177" s="48">
        <f t="shared" si="91"/>
        <v>0</v>
      </c>
      <c r="W177" s="28">
        <v>223</v>
      </c>
      <c r="X177" s="105">
        <v>1.42</v>
      </c>
      <c r="Y177" s="105">
        <v>9.4700000000000006</v>
      </c>
      <c r="Z177" s="73" t="s">
        <v>465</v>
      </c>
      <c r="AA177" s="28">
        <v>1100</v>
      </c>
    </row>
    <row r="178" spans="1:27" x14ac:dyDescent="0.25">
      <c r="A178" s="4"/>
      <c r="B178" s="98" t="s">
        <v>1035</v>
      </c>
      <c r="C178" s="75" t="s">
        <v>1008</v>
      </c>
      <c r="D178" s="28" t="s">
        <v>1007</v>
      </c>
      <c r="E178" s="28">
        <f t="shared" ref="E178:E267" si="119">RIGHT(TRIM(D178),5)*1</f>
        <v>92145</v>
      </c>
      <c r="F178" s="143" t="str">
        <f>INDEX(PV_Summary!$B$18:$B$118,MATCH($E178,PV_Summary!$A$18:$A$118,0))</f>
        <v>N</v>
      </c>
      <c r="G178" s="123">
        <v>32.887017999999998</v>
      </c>
      <c r="H178" s="61">
        <v>-117.137023</v>
      </c>
      <c r="I178" s="44" t="s">
        <v>3</v>
      </c>
      <c r="J178" s="46">
        <f t="shared" ref="J178:J204" si="120">IF(O178&gt;1,Sym_Scl_Aggr_Parent,IF(O178&lt;1,Sym_Scl_Aggr_Child,Sym_Scl_Normal))</f>
        <v>0.75</v>
      </c>
      <c r="K178" s="100"/>
      <c r="L178" s="44" t="str">
        <f t="shared" ref="L178:L204" si="121">IF(O178&gt;1,"Total","")</f>
        <v/>
      </c>
      <c r="M178" s="46">
        <f t="shared" ref="M178:M204" si="122">IF(O178&gt;1,Label_Scl_Aggr_Parent,IF(O178&lt;1,Label_Scl_Aggr_Child,Label_Scl_Normal))</f>
        <v>0.75</v>
      </c>
      <c r="N178" s="46"/>
      <c r="O178" s="41">
        <f t="shared" si="101"/>
        <v>0</v>
      </c>
      <c r="P178" s="42">
        <v>108000</v>
      </c>
      <c r="Q178" s="44" t="s">
        <v>3</v>
      </c>
      <c r="R178" s="28" t="s">
        <v>55</v>
      </c>
      <c r="S178" s="48">
        <f t="shared" si="102"/>
        <v>756000</v>
      </c>
      <c r="T178" s="48">
        <f t="shared" si="91"/>
        <v>0</v>
      </c>
      <c r="W178" s="28">
        <v>223</v>
      </c>
      <c r="X178" s="105">
        <v>1.42</v>
      </c>
      <c r="Y178" s="105">
        <v>9.4700000000000006</v>
      </c>
      <c r="Z178" s="73" t="s">
        <v>465</v>
      </c>
      <c r="AA178" s="28">
        <v>1100</v>
      </c>
    </row>
    <row r="179" spans="1:27" x14ac:dyDescent="0.25">
      <c r="A179" s="4"/>
      <c r="B179" s="98" t="s">
        <v>1036</v>
      </c>
      <c r="C179" s="75" t="s">
        <v>1008</v>
      </c>
      <c r="D179" s="28" t="s">
        <v>1007</v>
      </c>
      <c r="E179" s="28">
        <f t="shared" si="119"/>
        <v>92145</v>
      </c>
      <c r="F179" s="143" t="str">
        <f>INDEX(PV_Summary!$B$18:$B$118,MATCH($E179,PV_Summary!$A$18:$A$118,0))</f>
        <v>N</v>
      </c>
      <c r="G179" s="123">
        <v>32.885939</v>
      </c>
      <c r="H179" s="61">
        <v>-117.136486</v>
      </c>
      <c r="I179" s="44" t="s">
        <v>3</v>
      </c>
      <c r="J179" s="46">
        <f t="shared" si="120"/>
        <v>0.75</v>
      </c>
      <c r="K179" s="100"/>
      <c r="L179" s="44" t="str">
        <f t="shared" si="121"/>
        <v/>
      </c>
      <c r="M179" s="46">
        <f t="shared" si="122"/>
        <v>0.75</v>
      </c>
      <c r="N179" s="46"/>
      <c r="O179" s="41">
        <f t="shared" si="101"/>
        <v>0</v>
      </c>
      <c r="P179" s="42">
        <v>48000</v>
      </c>
      <c r="Q179" s="44" t="s">
        <v>3</v>
      </c>
      <c r="R179" s="28" t="s">
        <v>55</v>
      </c>
      <c r="S179" s="48">
        <f t="shared" si="102"/>
        <v>336000</v>
      </c>
      <c r="T179" s="48">
        <f t="shared" si="91"/>
        <v>0</v>
      </c>
      <c r="W179" s="28">
        <v>223</v>
      </c>
      <c r="X179" s="105">
        <v>1.42</v>
      </c>
      <c r="Y179" s="105">
        <v>9.4700000000000006</v>
      </c>
      <c r="Z179" s="73" t="s">
        <v>465</v>
      </c>
      <c r="AA179" s="28">
        <v>900</v>
      </c>
    </row>
    <row r="180" spans="1:27" x14ac:dyDescent="0.25">
      <c r="A180" s="4"/>
      <c r="B180" s="98" t="s">
        <v>1037</v>
      </c>
      <c r="C180" s="75" t="s">
        <v>1008</v>
      </c>
      <c r="D180" s="28" t="s">
        <v>1007</v>
      </c>
      <c r="E180" s="28">
        <f t="shared" si="119"/>
        <v>92145</v>
      </c>
      <c r="F180" s="143" t="str">
        <f>INDEX(PV_Summary!$B$18:$B$118,MATCH($E180,PV_Summary!$A$18:$A$118,0))</f>
        <v>N</v>
      </c>
      <c r="G180" s="123">
        <v>32.884743999999998</v>
      </c>
      <c r="H180" s="61">
        <v>-117.137711</v>
      </c>
      <c r="I180" s="44" t="s">
        <v>3</v>
      </c>
      <c r="J180" s="46">
        <f t="shared" si="120"/>
        <v>0.75</v>
      </c>
      <c r="K180" s="100"/>
      <c r="L180" s="44" t="str">
        <f t="shared" si="121"/>
        <v/>
      </c>
      <c r="M180" s="46">
        <f t="shared" si="122"/>
        <v>0.75</v>
      </c>
      <c r="N180" s="46"/>
      <c r="O180" s="41">
        <f t="shared" si="101"/>
        <v>0</v>
      </c>
      <c r="P180" s="42">
        <v>74000</v>
      </c>
      <c r="Q180" s="44" t="s">
        <v>3</v>
      </c>
      <c r="R180" s="28" t="s">
        <v>55</v>
      </c>
      <c r="S180" s="48">
        <f t="shared" si="102"/>
        <v>518000</v>
      </c>
      <c r="T180" s="48">
        <f t="shared" si="91"/>
        <v>0</v>
      </c>
      <c r="W180" s="28">
        <v>223</v>
      </c>
      <c r="X180" s="105">
        <v>1.42</v>
      </c>
      <c r="Y180" s="105">
        <v>9.4700000000000006</v>
      </c>
      <c r="Z180" s="73" t="s">
        <v>465</v>
      </c>
      <c r="AA180" s="28">
        <v>500</v>
      </c>
    </row>
    <row r="181" spans="1:27" x14ac:dyDescent="0.25">
      <c r="A181" s="4"/>
      <c r="B181" s="98" t="s">
        <v>1038</v>
      </c>
      <c r="C181" s="75" t="s">
        <v>1008</v>
      </c>
      <c r="D181" s="28" t="s">
        <v>1007</v>
      </c>
      <c r="E181" s="28">
        <f t="shared" si="119"/>
        <v>92145</v>
      </c>
      <c r="F181" s="143" t="str">
        <f>INDEX(PV_Summary!$B$18:$B$118,MATCH($E181,PV_Summary!$A$18:$A$118,0))</f>
        <v>N</v>
      </c>
      <c r="G181" s="123">
        <v>32.883940000000003</v>
      </c>
      <c r="H181" s="61">
        <v>-117.135991</v>
      </c>
      <c r="I181" s="44" t="s">
        <v>3</v>
      </c>
      <c r="J181" s="46">
        <f t="shared" si="120"/>
        <v>0.75</v>
      </c>
      <c r="K181" s="100"/>
      <c r="L181" s="44" t="str">
        <f t="shared" si="121"/>
        <v/>
      </c>
      <c r="M181" s="46">
        <f t="shared" si="122"/>
        <v>0.75</v>
      </c>
      <c r="N181" s="46"/>
      <c r="O181" s="41">
        <f t="shared" si="101"/>
        <v>0</v>
      </c>
      <c r="P181" s="42">
        <v>60000</v>
      </c>
      <c r="Q181" s="44" t="s">
        <v>3</v>
      </c>
      <c r="R181" s="28" t="s">
        <v>55</v>
      </c>
      <c r="S181" s="48">
        <f t="shared" si="102"/>
        <v>420000</v>
      </c>
      <c r="T181" s="48">
        <f t="shared" si="91"/>
        <v>0</v>
      </c>
      <c r="W181" s="28">
        <v>223</v>
      </c>
      <c r="X181" s="105">
        <v>1.42</v>
      </c>
      <c r="Y181" s="105">
        <v>9.4700000000000006</v>
      </c>
      <c r="Z181" s="73" t="s">
        <v>465</v>
      </c>
      <c r="AA181" s="28">
        <v>0</v>
      </c>
    </row>
    <row r="182" spans="1:27" x14ac:dyDescent="0.25">
      <c r="A182" s="4"/>
      <c r="B182" s="98" t="s">
        <v>1039</v>
      </c>
      <c r="C182" s="75" t="s">
        <v>1008</v>
      </c>
      <c r="D182" s="28" t="s">
        <v>1007</v>
      </c>
      <c r="E182" s="28">
        <f t="shared" si="119"/>
        <v>92145</v>
      </c>
      <c r="F182" s="143" t="str">
        <f>INDEX(PV_Summary!$B$18:$B$118,MATCH($E182,PV_Summary!$A$18:$A$118,0))</f>
        <v>N</v>
      </c>
      <c r="G182" s="123">
        <v>32.885008999999997</v>
      </c>
      <c r="H182" s="61">
        <v>-117.13623699999999</v>
      </c>
      <c r="I182" s="44" t="s">
        <v>3</v>
      </c>
      <c r="J182" s="46">
        <f t="shared" si="120"/>
        <v>0.75</v>
      </c>
      <c r="K182" s="100"/>
      <c r="L182" s="44" t="str">
        <f t="shared" si="121"/>
        <v/>
      </c>
      <c r="M182" s="46">
        <f t="shared" si="122"/>
        <v>0.75</v>
      </c>
      <c r="N182" s="46"/>
      <c r="O182" s="41">
        <f t="shared" si="101"/>
        <v>0</v>
      </c>
      <c r="P182" s="42">
        <v>74000</v>
      </c>
      <c r="Q182" s="44" t="s">
        <v>3</v>
      </c>
      <c r="R182" s="28" t="s">
        <v>55</v>
      </c>
      <c r="S182" s="48">
        <f t="shared" si="102"/>
        <v>518000</v>
      </c>
      <c r="T182" s="48">
        <f t="shared" si="91"/>
        <v>0</v>
      </c>
      <c r="W182" s="28">
        <v>223</v>
      </c>
      <c r="X182" s="105">
        <v>1.42</v>
      </c>
      <c r="Y182" s="105">
        <v>9.4700000000000006</v>
      </c>
      <c r="Z182" s="73" t="s">
        <v>465</v>
      </c>
      <c r="AA182" s="28">
        <v>500</v>
      </c>
    </row>
    <row r="183" spans="1:27" x14ac:dyDescent="0.25">
      <c r="A183" s="4"/>
      <c r="B183" s="98" t="s">
        <v>1040</v>
      </c>
      <c r="C183" s="75" t="s">
        <v>1008</v>
      </c>
      <c r="D183" s="28" t="s">
        <v>1007</v>
      </c>
      <c r="E183" s="28">
        <f t="shared" si="119"/>
        <v>92145</v>
      </c>
      <c r="F183" s="143" t="str">
        <f>INDEX(PV_Summary!$B$18:$B$118,MATCH($E183,PV_Summary!$A$18:$A$118,0))</f>
        <v>N</v>
      </c>
      <c r="G183" s="123">
        <v>32.887107999999998</v>
      </c>
      <c r="H183" s="61">
        <v>-117.134861</v>
      </c>
      <c r="I183" s="44" t="s">
        <v>3</v>
      </c>
      <c r="J183" s="46">
        <f t="shared" si="120"/>
        <v>0.75</v>
      </c>
      <c r="K183" s="100"/>
      <c r="L183" s="44" t="str">
        <f t="shared" si="121"/>
        <v/>
      </c>
      <c r="M183" s="46">
        <f t="shared" si="122"/>
        <v>0.75</v>
      </c>
      <c r="N183" s="46"/>
      <c r="O183" s="41">
        <f t="shared" si="101"/>
        <v>0</v>
      </c>
      <c r="P183" s="42">
        <v>22000</v>
      </c>
      <c r="Q183" s="44" t="s">
        <v>3</v>
      </c>
      <c r="R183" s="28" t="s">
        <v>55</v>
      </c>
      <c r="S183" s="48">
        <f t="shared" si="102"/>
        <v>154000</v>
      </c>
      <c r="T183" s="48">
        <f t="shared" si="91"/>
        <v>0</v>
      </c>
      <c r="W183" s="28">
        <v>223</v>
      </c>
      <c r="X183" s="105">
        <v>1.42</v>
      </c>
      <c r="Y183" s="105">
        <v>9.4700000000000006</v>
      </c>
      <c r="Z183" s="73" t="s">
        <v>465</v>
      </c>
      <c r="AA183" s="28">
        <v>1200</v>
      </c>
    </row>
    <row r="184" spans="1:27" x14ac:dyDescent="0.25">
      <c r="A184" s="4"/>
      <c r="B184" s="98" t="s">
        <v>1041</v>
      </c>
      <c r="C184" s="75" t="s">
        <v>1008</v>
      </c>
      <c r="D184" s="28" t="s">
        <v>1007</v>
      </c>
      <c r="E184" s="28">
        <f t="shared" si="119"/>
        <v>92145</v>
      </c>
      <c r="F184" s="143" t="str">
        <f>INDEX(PV_Summary!$B$18:$B$118,MATCH($E184,PV_Summary!$A$18:$A$118,0))</f>
        <v>N</v>
      </c>
      <c r="G184" s="123">
        <v>32.886332000000003</v>
      </c>
      <c r="H184" s="61">
        <v>-117.13557900000001</v>
      </c>
      <c r="I184" s="44" t="s">
        <v>3</v>
      </c>
      <c r="J184" s="46">
        <f t="shared" si="120"/>
        <v>0.75</v>
      </c>
      <c r="K184" s="100"/>
      <c r="L184" s="44" t="str">
        <f t="shared" si="121"/>
        <v/>
      </c>
      <c r="M184" s="46">
        <f t="shared" si="122"/>
        <v>0.75</v>
      </c>
      <c r="N184" s="46"/>
      <c r="O184" s="41">
        <f t="shared" si="101"/>
        <v>0</v>
      </c>
      <c r="P184" s="42">
        <v>25000</v>
      </c>
      <c r="Q184" s="44" t="s">
        <v>3</v>
      </c>
      <c r="R184" s="28" t="s">
        <v>55</v>
      </c>
      <c r="S184" s="48">
        <f t="shared" si="102"/>
        <v>175000</v>
      </c>
      <c r="T184" s="48">
        <f t="shared" si="91"/>
        <v>0</v>
      </c>
      <c r="W184" s="28">
        <v>223</v>
      </c>
      <c r="X184" s="105">
        <v>1.42</v>
      </c>
      <c r="Y184" s="105">
        <v>9.4700000000000006</v>
      </c>
      <c r="Z184" s="73" t="s">
        <v>465</v>
      </c>
      <c r="AA184" s="28">
        <v>950</v>
      </c>
    </row>
    <row r="185" spans="1:27" x14ac:dyDescent="0.25">
      <c r="A185" s="4"/>
      <c r="B185" s="98" t="s">
        <v>1042</v>
      </c>
      <c r="C185" s="75" t="s">
        <v>1008</v>
      </c>
      <c r="D185" s="28" t="s">
        <v>1007</v>
      </c>
      <c r="E185" s="28">
        <f t="shared" si="119"/>
        <v>92145</v>
      </c>
      <c r="F185" s="143" t="str">
        <f>INDEX(PV_Summary!$B$18:$B$118,MATCH($E185,PV_Summary!$A$18:$A$118,0))</f>
        <v>N</v>
      </c>
      <c r="G185" s="123">
        <v>32.885967000000001</v>
      </c>
      <c r="H185" s="61">
        <v>-117.13435200000001</v>
      </c>
      <c r="I185" s="44" t="s">
        <v>3</v>
      </c>
      <c r="J185" s="46">
        <f t="shared" si="120"/>
        <v>0.75</v>
      </c>
      <c r="K185" s="100"/>
      <c r="L185" s="44" t="str">
        <f t="shared" si="121"/>
        <v/>
      </c>
      <c r="M185" s="46">
        <f t="shared" si="122"/>
        <v>0.75</v>
      </c>
      <c r="N185" s="46"/>
      <c r="O185" s="41">
        <f t="shared" si="101"/>
        <v>0</v>
      </c>
      <c r="P185" s="42">
        <v>99000</v>
      </c>
      <c r="Q185" s="44" t="s">
        <v>3</v>
      </c>
      <c r="R185" s="28" t="s">
        <v>55</v>
      </c>
      <c r="S185" s="48">
        <f t="shared" si="102"/>
        <v>693000</v>
      </c>
      <c r="T185" s="48">
        <f t="shared" si="91"/>
        <v>0</v>
      </c>
      <c r="W185" s="28">
        <v>223</v>
      </c>
      <c r="X185" s="105">
        <v>1.42</v>
      </c>
      <c r="Y185" s="105">
        <v>9.4700000000000006</v>
      </c>
      <c r="Z185" s="73" t="s">
        <v>465</v>
      </c>
      <c r="AA185" s="28">
        <v>800</v>
      </c>
    </row>
    <row r="186" spans="1:27" x14ac:dyDescent="0.25">
      <c r="A186" s="4"/>
      <c r="B186" s="98" t="s">
        <v>1043</v>
      </c>
      <c r="C186" s="75" t="s">
        <v>1008</v>
      </c>
      <c r="D186" s="28" t="s">
        <v>1007</v>
      </c>
      <c r="E186" s="28">
        <f t="shared" si="119"/>
        <v>92145</v>
      </c>
      <c r="F186" s="143" t="str">
        <f>INDEX(PV_Summary!$B$18:$B$118,MATCH($E186,PV_Summary!$A$18:$A$118,0))</f>
        <v>N</v>
      </c>
      <c r="G186" s="123">
        <v>32.884821000000002</v>
      </c>
      <c r="H186" s="61">
        <v>-117.13511</v>
      </c>
      <c r="I186" s="44" t="s">
        <v>3</v>
      </c>
      <c r="J186" s="46">
        <f t="shared" si="120"/>
        <v>0.75</v>
      </c>
      <c r="K186" s="100"/>
      <c r="L186" s="44" t="str">
        <f t="shared" si="121"/>
        <v/>
      </c>
      <c r="M186" s="46">
        <f t="shared" si="122"/>
        <v>0.75</v>
      </c>
      <c r="N186" s="46"/>
      <c r="O186" s="41">
        <f t="shared" si="101"/>
        <v>0</v>
      </c>
      <c r="P186" s="42">
        <v>18000</v>
      </c>
      <c r="Q186" s="44" t="s">
        <v>3</v>
      </c>
      <c r="R186" s="28" t="s">
        <v>55</v>
      </c>
      <c r="S186" s="48">
        <f t="shared" si="102"/>
        <v>126000</v>
      </c>
      <c r="T186" s="48">
        <f t="shared" si="91"/>
        <v>0</v>
      </c>
      <c r="W186" s="28">
        <v>223</v>
      </c>
      <c r="X186" s="105">
        <v>1.42</v>
      </c>
      <c r="Y186" s="105">
        <v>9.4700000000000006</v>
      </c>
      <c r="Z186" s="73" t="s">
        <v>465</v>
      </c>
      <c r="AA186" s="28">
        <v>350</v>
      </c>
    </row>
    <row r="187" spans="1:27" x14ac:dyDescent="0.25">
      <c r="A187" s="4"/>
      <c r="B187" s="98" t="s">
        <v>1044</v>
      </c>
      <c r="C187" s="75" t="s">
        <v>1008</v>
      </c>
      <c r="D187" s="28" t="s">
        <v>1007</v>
      </c>
      <c r="E187" s="28">
        <f t="shared" si="119"/>
        <v>92145</v>
      </c>
      <c r="F187" s="143" t="str">
        <f>INDEX(PV_Summary!$B$18:$B$118,MATCH($E187,PV_Summary!$A$18:$A$118,0))</f>
        <v>N</v>
      </c>
      <c r="G187" s="123">
        <v>32.884214</v>
      </c>
      <c r="H187" s="61">
        <v>-117.13418900000001</v>
      </c>
      <c r="I187" s="44" t="s">
        <v>3</v>
      </c>
      <c r="J187" s="46">
        <f t="shared" si="120"/>
        <v>0.75</v>
      </c>
      <c r="K187" s="100"/>
      <c r="L187" s="44" t="str">
        <f t="shared" si="121"/>
        <v/>
      </c>
      <c r="M187" s="46">
        <f t="shared" si="122"/>
        <v>0.75</v>
      </c>
      <c r="N187" s="46"/>
      <c r="O187" s="41">
        <f t="shared" si="101"/>
        <v>0</v>
      </c>
      <c r="P187" s="42">
        <v>29000</v>
      </c>
      <c r="Q187" s="44" t="s">
        <v>3</v>
      </c>
      <c r="R187" s="28" t="s">
        <v>55</v>
      </c>
      <c r="S187" s="48">
        <f t="shared" si="102"/>
        <v>203000</v>
      </c>
      <c r="T187" s="48">
        <f t="shared" si="91"/>
        <v>0</v>
      </c>
      <c r="W187" s="28">
        <v>223</v>
      </c>
      <c r="X187" s="105">
        <v>1.42</v>
      </c>
      <c r="Y187" s="105">
        <v>9.4700000000000006</v>
      </c>
      <c r="Z187" s="73" t="s">
        <v>465</v>
      </c>
      <c r="AA187" s="28">
        <v>100</v>
      </c>
    </row>
    <row r="188" spans="1:27" x14ac:dyDescent="0.25">
      <c r="A188" s="4"/>
      <c r="B188" s="98" t="s">
        <v>1045</v>
      </c>
      <c r="C188" s="75" t="s">
        <v>1008</v>
      </c>
      <c r="D188" s="28" t="s">
        <v>1007</v>
      </c>
      <c r="E188" s="28">
        <f t="shared" si="119"/>
        <v>92145</v>
      </c>
      <c r="F188" s="143" t="str">
        <f>INDEX(PV_Summary!$B$18:$B$118,MATCH($E188,PV_Summary!$A$18:$A$118,0))</f>
        <v>N</v>
      </c>
      <c r="G188" s="123">
        <v>32.884068999999997</v>
      </c>
      <c r="H188" s="61">
        <v>-117.133026</v>
      </c>
      <c r="I188" s="44" t="s">
        <v>3</v>
      </c>
      <c r="J188" s="46">
        <f t="shared" si="120"/>
        <v>0.75</v>
      </c>
      <c r="K188" s="100"/>
      <c r="L188" s="44" t="str">
        <f t="shared" si="121"/>
        <v/>
      </c>
      <c r="M188" s="46">
        <f t="shared" si="122"/>
        <v>0.75</v>
      </c>
      <c r="N188" s="46"/>
      <c r="O188" s="41">
        <f t="shared" si="101"/>
        <v>0</v>
      </c>
      <c r="P188" s="42">
        <v>36000</v>
      </c>
      <c r="Q188" s="44" t="s">
        <v>3</v>
      </c>
      <c r="R188" s="28" t="s">
        <v>55</v>
      </c>
      <c r="S188" s="48">
        <f t="shared" si="102"/>
        <v>252000</v>
      </c>
      <c r="T188" s="48">
        <f t="shared" si="91"/>
        <v>0</v>
      </c>
      <c r="W188" s="28">
        <v>223</v>
      </c>
      <c r="X188" s="105">
        <v>1.42</v>
      </c>
      <c r="Y188" s="105">
        <v>9.4700000000000006</v>
      </c>
      <c r="Z188" s="73" t="s">
        <v>465</v>
      </c>
      <c r="AA188" s="28">
        <v>0</v>
      </c>
    </row>
    <row r="189" spans="1:27" x14ac:dyDescent="0.25">
      <c r="A189" s="4"/>
      <c r="B189" s="98" t="s">
        <v>1046</v>
      </c>
      <c r="C189" s="75" t="s">
        <v>1008</v>
      </c>
      <c r="D189" s="28" t="s">
        <v>1007</v>
      </c>
      <c r="E189" s="28">
        <f t="shared" si="119"/>
        <v>92145</v>
      </c>
      <c r="F189" s="143" t="str">
        <f>INDEX(PV_Summary!$B$18:$B$118,MATCH($E189,PV_Summary!$A$18:$A$118,0))</f>
        <v>N</v>
      </c>
      <c r="G189" s="123">
        <v>32.885046000000003</v>
      </c>
      <c r="H189" s="61">
        <v>-117.132775</v>
      </c>
      <c r="I189" s="44" t="s">
        <v>3</v>
      </c>
      <c r="J189" s="46">
        <f t="shared" si="120"/>
        <v>0.75</v>
      </c>
      <c r="K189" s="100"/>
      <c r="L189" s="44" t="str">
        <f t="shared" si="121"/>
        <v/>
      </c>
      <c r="M189" s="46">
        <f t="shared" si="122"/>
        <v>0.75</v>
      </c>
      <c r="N189" s="46"/>
      <c r="O189" s="41">
        <f t="shared" si="101"/>
        <v>0</v>
      </c>
      <c r="P189" s="42">
        <v>80000</v>
      </c>
      <c r="Q189" s="44" t="s">
        <v>3</v>
      </c>
      <c r="R189" s="28" t="s">
        <v>55</v>
      </c>
      <c r="S189" s="48">
        <f t="shared" si="102"/>
        <v>560000</v>
      </c>
      <c r="T189" s="48">
        <f t="shared" si="91"/>
        <v>0</v>
      </c>
      <c r="W189" s="28">
        <v>223</v>
      </c>
      <c r="X189" s="105">
        <v>1.42</v>
      </c>
      <c r="Y189" s="105">
        <v>9.4700000000000006</v>
      </c>
      <c r="Z189" s="73" t="s">
        <v>465</v>
      </c>
      <c r="AA189" s="28">
        <v>300</v>
      </c>
    </row>
    <row r="190" spans="1:27" x14ac:dyDescent="0.25">
      <c r="A190" s="4"/>
      <c r="B190" s="98" t="s">
        <v>1047</v>
      </c>
      <c r="C190" s="75" t="s">
        <v>1008</v>
      </c>
      <c r="D190" s="28" t="s">
        <v>1007</v>
      </c>
      <c r="E190" s="28">
        <f t="shared" si="119"/>
        <v>92145</v>
      </c>
      <c r="F190" s="143" t="str">
        <f>INDEX(PV_Summary!$B$18:$B$118,MATCH($E190,PV_Summary!$A$18:$A$118,0))</f>
        <v>N</v>
      </c>
      <c r="G190" s="123">
        <v>32.886105999999998</v>
      </c>
      <c r="H190" s="61">
        <v>-117.133229</v>
      </c>
      <c r="I190" s="44" t="s">
        <v>3</v>
      </c>
      <c r="J190" s="46">
        <f t="shared" si="120"/>
        <v>0.75</v>
      </c>
      <c r="K190" s="100"/>
      <c r="L190" s="44" t="str">
        <f t="shared" si="121"/>
        <v/>
      </c>
      <c r="M190" s="46">
        <f t="shared" si="122"/>
        <v>0.75</v>
      </c>
      <c r="N190" s="46"/>
      <c r="O190" s="41">
        <f t="shared" si="101"/>
        <v>0</v>
      </c>
      <c r="P190" s="42">
        <v>18000</v>
      </c>
      <c r="Q190" s="44" t="s">
        <v>3</v>
      </c>
      <c r="R190" s="28" t="s">
        <v>55</v>
      </c>
      <c r="S190" s="48">
        <f t="shared" si="102"/>
        <v>126000</v>
      </c>
      <c r="T190" s="48">
        <f t="shared" si="91"/>
        <v>0</v>
      </c>
      <c r="W190" s="28">
        <v>223</v>
      </c>
      <c r="X190" s="105">
        <v>1.42</v>
      </c>
      <c r="Y190" s="105">
        <v>9.4700000000000006</v>
      </c>
      <c r="Z190" s="73" t="s">
        <v>465</v>
      </c>
      <c r="AA190" s="28">
        <v>900</v>
      </c>
    </row>
    <row r="191" spans="1:27" x14ac:dyDescent="0.25">
      <c r="A191" s="4"/>
      <c r="B191" s="98" t="s">
        <v>1048</v>
      </c>
      <c r="C191" s="75" t="s">
        <v>1008</v>
      </c>
      <c r="D191" s="28" t="s">
        <v>1007</v>
      </c>
      <c r="E191" s="28">
        <f t="shared" si="119"/>
        <v>92145</v>
      </c>
      <c r="F191" s="143" t="str">
        <f>INDEX(PV_Summary!$B$18:$B$118,MATCH($E191,PV_Summary!$A$18:$A$118,0))</f>
        <v>N</v>
      </c>
      <c r="G191" s="123">
        <v>32.887231</v>
      </c>
      <c r="H191" s="61">
        <v>-117.133026</v>
      </c>
      <c r="I191" s="44" t="s">
        <v>3</v>
      </c>
      <c r="J191" s="46">
        <f t="shared" si="120"/>
        <v>0.75</v>
      </c>
      <c r="K191" s="100"/>
      <c r="L191" s="44" t="str">
        <f t="shared" si="121"/>
        <v/>
      </c>
      <c r="M191" s="46">
        <f t="shared" si="122"/>
        <v>0.75</v>
      </c>
      <c r="N191" s="46"/>
      <c r="O191" s="41">
        <f t="shared" si="101"/>
        <v>0</v>
      </c>
      <c r="P191" s="42">
        <v>55000</v>
      </c>
      <c r="Q191" s="44" t="s">
        <v>3</v>
      </c>
      <c r="R191" s="28" t="s">
        <v>55</v>
      </c>
      <c r="S191" s="48">
        <f t="shared" si="102"/>
        <v>385000</v>
      </c>
      <c r="T191" s="48">
        <f t="shared" si="91"/>
        <v>0</v>
      </c>
      <c r="W191" s="28">
        <v>223</v>
      </c>
      <c r="X191" s="105">
        <v>1.42</v>
      </c>
      <c r="Y191" s="105">
        <v>9.4700000000000006</v>
      </c>
      <c r="Z191" s="73" t="s">
        <v>465</v>
      </c>
      <c r="AA191" s="28">
        <v>1300</v>
      </c>
    </row>
    <row r="192" spans="1:27" x14ac:dyDescent="0.25">
      <c r="A192" s="4"/>
      <c r="B192" s="98" t="s">
        <v>1049</v>
      </c>
      <c r="C192" s="75" t="s">
        <v>1008</v>
      </c>
      <c r="D192" s="28" t="s">
        <v>1007</v>
      </c>
      <c r="E192" s="28">
        <f t="shared" si="119"/>
        <v>92145</v>
      </c>
      <c r="F192" s="143" t="str">
        <f>INDEX(PV_Summary!$B$18:$B$118,MATCH($E192,PV_Summary!$A$18:$A$118,0))</f>
        <v>N</v>
      </c>
      <c r="G192" s="123">
        <v>32.887354000000002</v>
      </c>
      <c r="H192" s="61">
        <v>-117.13176300000001</v>
      </c>
      <c r="I192" s="44" t="s">
        <v>3</v>
      </c>
      <c r="J192" s="46">
        <f t="shared" si="120"/>
        <v>0.75</v>
      </c>
      <c r="K192" s="100"/>
      <c r="L192" s="44" t="str">
        <f t="shared" si="121"/>
        <v/>
      </c>
      <c r="M192" s="46">
        <f t="shared" si="122"/>
        <v>0.75</v>
      </c>
      <c r="N192" s="46"/>
      <c r="O192" s="41">
        <f t="shared" si="101"/>
        <v>0</v>
      </c>
      <c r="P192" s="42">
        <v>33000</v>
      </c>
      <c r="Q192" s="44" t="s">
        <v>3</v>
      </c>
      <c r="R192" s="28" t="s">
        <v>55</v>
      </c>
      <c r="S192" s="48">
        <f t="shared" si="102"/>
        <v>231000</v>
      </c>
      <c r="T192" s="48">
        <f t="shared" si="91"/>
        <v>0</v>
      </c>
      <c r="W192" s="28">
        <v>223</v>
      </c>
      <c r="X192" s="105">
        <v>1.42</v>
      </c>
      <c r="Y192" s="105">
        <v>9.4700000000000006</v>
      </c>
      <c r="Z192" s="73" t="s">
        <v>465</v>
      </c>
      <c r="AA192" s="28">
        <v>1300</v>
      </c>
    </row>
    <row r="193" spans="1:27" x14ac:dyDescent="0.25">
      <c r="A193" s="4"/>
      <c r="B193" s="98" t="s">
        <v>1050</v>
      </c>
      <c r="C193" s="75" t="s">
        <v>1008</v>
      </c>
      <c r="D193" s="28" t="s">
        <v>1007</v>
      </c>
      <c r="E193" s="28">
        <f t="shared" si="119"/>
        <v>92145</v>
      </c>
      <c r="F193" s="143" t="str">
        <f>INDEX(PV_Summary!$B$18:$B$118,MATCH($E193,PV_Summary!$A$18:$A$118,0))</f>
        <v>N</v>
      </c>
      <c r="G193" s="123">
        <v>32.886538000000002</v>
      </c>
      <c r="H193" s="61">
        <v>-117.131286</v>
      </c>
      <c r="I193" s="44" t="s">
        <v>3</v>
      </c>
      <c r="J193" s="46">
        <f t="shared" si="120"/>
        <v>0.75</v>
      </c>
      <c r="K193" s="100"/>
      <c r="L193" s="44" t="str">
        <f t="shared" si="121"/>
        <v/>
      </c>
      <c r="M193" s="46">
        <f t="shared" si="122"/>
        <v>0.75</v>
      </c>
      <c r="N193" s="46"/>
      <c r="O193" s="41">
        <f t="shared" si="101"/>
        <v>0</v>
      </c>
      <c r="P193" s="42">
        <v>26000</v>
      </c>
      <c r="Q193" s="44" t="s">
        <v>3</v>
      </c>
      <c r="R193" s="28" t="s">
        <v>55</v>
      </c>
      <c r="S193" s="48">
        <f t="shared" si="102"/>
        <v>182000</v>
      </c>
      <c r="T193" s="48">
        <f t="shared" si="91"/>
        <v>0</v>
      </c>
      <c r="W193" s="28">
        <v>223</v>
      </c>
      <c r="X193" s="105">
        <v>1.42</v>
      </c>
      <c r="Y193" s="105">
        <v>9.4700000000000006</v>
      </c>
      <c r="Z193" s="73" t="s">
        <v>465</v>
      </c>
      <c r="AA193" s="28">
        <v>1100</v>
      </c>
    </row>
    <row r="194" spans="1:27" x14ac:dyDescent="0.25">
      <c r="A194" s="4"/>
      <c r="B194" s="98" t="s">
        <v>1051</v>
      </c>
      <c r="C194" s="75" t="s">
        <v>1008</v>
      </c>
      <c r="D194" s="28" t="s">
        <v>1007</v>
      </c>
      <c r="E194" s="28">
        <f t="shared" si="119"/>
        <v>92145</v>
      </c>
      <c r="F194" s="143" t="str">
        <f>INDEX(PV_Summary!$B$18:$B$118,MATCH($E194,PV_Summary!$A$18:$A$118,0))</f>
        <v>N</v>
      </c>
      <c r="G194" s="123">
        <v>32.885396</v>
      </c>
      <c r="H194" s="61">
        <v>-117.131461</v>
      </c>
      <c r="I194" s="44" t="s">
        <v>3</v>
      </c>
      <c r="J194" s="46">
        <f t="shared" si="120"/>
        <v>0.75</v>
      </c>
      <c r="K194" s="100"/>
      <c r="L194" s="44" t="str">
        <f t="shared" si="121"/>
        <v/>
      </c>
      <c r="M194" s="46">
        <f t="shared" si="122"/>
        <v>0.75</v>
      </c>
      <c r="N194" s="46"/>
      <c r="O194" s="41">
        <f t="shared" si="101"/>
        <v>0</v>
      </c>
      <c r="P194" s="42">
        <v>29000</v>
      </c>
      <c r="Q194" s="44" t="s">
        <v>3</v>
      </c>
      <c r="R194" s="28" t="s">
        <v>55</v>
      </c>
      <c r="S194" s="48">
        <f t="shared" si="102"/>
        <v>203000</v>
      </c>
      <c r="T194" s="48">
        <f t="shared" si="91"/>
        <v>0</v>
      </c>
      <c r="W194" s="28">
        <v>223</v>
      </c>
      <c r="X194" s="105">
        <v>1.42</v>
      </c>
      <c r="Y194" s="105">
        <v>9.4700000000000006</v>
      </c>
      <c r="Z194" s="73" t="s">
        <v>465</v>
      </c>
      <c r="AA194" s="28">
        <v>700</v>
      </c>
    </row>
    <row r="195" spans="1:27" x14ac:dyDescent="0.25">
      <c r="A195" s="4"/>
      <c r="B195" s="98" t="s">
        <v>1052</v>
      </c>
      <c r="C195" s="75" t="s">
        <v>1008</v>
      </c>
      <c r="D195" s="28" t="s">
        <v>1007</v>
      </c>
      <c r="E195" s="28">
        <f t="shared" si="119"/>
        <v>92145</v>
      </c>
      <c r="F195" s="143" t="str">
        <f>INDEX(PV_Summary!$B$18:$B$118,MATCH($E195,PV_Summary!$A$18:$A$118,0))</f>
        <v>N</v>
      </c>
      <c r="G195" s="123">
        <v>32.884602000000001</v>
      </c>
      <c r="H195" s="61">
        <v>-117.13143100000001</v>
      </c>
      <c r="I195" s="44" t="s">
        <v>3</v>
      </c>
      <c r="J195" s="46">
        <f t="shared" si="120"/>
        <v>0.75</v>
      </c>
      <c r="K195" s="100"/>
      <c r="L195" s="44" t="str">
        <f t="shared" si="121"/>
        <v/>
      </c>
      <c r="M195" s="46">
        <f t="shared" si="122"/>
        <v>0.75</v>
      </c>
      <c r="N195" s="46"/>
      <c r="O195" s="41">
        <f t="shared" si="101"/>
        <v>0</v>
      </c>
      <c r="P195" s="42">
        <v>9000</v>
      </c>
      <c r="Q195" s="44" t="s">
        <v>3</v>
      </c>
      <c r="R195" s="28" t="s">
        <v>55</v>
      </c>
      <c r="S195" s="48">
        <f t="shared" si="102"/>
        <v>63000</v>
      </c>
      <c r="T195" s="48">
        <f t="shared" ref="T195:T258" si="123">SUMIF($C:$C,$C195,$S:$S)*IF($O195&gt;=1,1,0)</f>
        <v>0</v>
      </c>
      <c r="W195" s="28">
        <v>223</v>
      </c>
      <c r="X195" s="105">
        <v>1.42</v>
      </c>
      <c r="Y195" s="105">
        <v>9.4700000000000006</v>
      </c>
      <c r="Z195" s="73" t="s">
        <v>465</v>
      </c>
      <c r="AA195" s="28">
        <v>300</v>
      </c>
    </row>
    <row r="196" spans="1:27" x14ac:dyDescent="0.25">
      <c r="A196" s="4"/>
      <c r="B196" s="98" t="s">
        <v>1053</v>
      </c>
      <c r="C196" s="75" t="s">
        <v>1008</v>
      </c>
      <c r="D196" s="28" t="s">
        <v>1007</v>
      </c>
      <c r="E196" s="28">
        <f t="shared" si="119"/>
        <v>92145</v>
      </c>
      <c r="F196" s="143" t="str">
        <f>INDEX(PV_Summary!$B$18:$B$118,MATCH($E196,PV_Summary!$A$18:$A$118,0))</f>
        <v>N</v>
      </c>
      <c r="G196" s="123">
        <v>32.88729</v>
      </c>
      <c r="H196" s="61">
        <v>-117.12975900000001</v>
      </c>
      <c r="I196" s="44" t="s">
        <v>3</v>
      </c>
      <c r="J196" s="46">
        <f t="shared" si="120"/>
        <v>0.75</v>
      </c>
      <c r="K196" s="100"/>
      <c r="L196" s="44" t="str">
        <f t="shared" si="121"/>
        <v/>
      </c>
      <c r="M196" s="46">
        <f t="shared" si="122"/>
        <v>0.75</v>
      </c>
      <c r="N196" s="46"/>
      <c r="O196" s="41">
        <f t="shared" si="101"/>
        <v>0</v>
      </c>
      <c r="P196" s="42">
        <v>43000</v>
      </c>
      <c r="Q196" s="44" t="s">
        <v>3</v>
      </c>
      <c r="R196" s="28" t="s">
        <v>55</v>
      </c>
      <c r="S196" s="48">
        <f t="shared" si="102"/>
        <v>301000</v>
      </c>
      <c r="T196" s="48">
        <f t="shared" si="123"/>
        <v>0</v>
      </c>
      <c r="W196" s="28">
        <v>223</v>
      </c>
      <c r="X196" s="105">
        <v>1.42</v>
      </c>
      <c r="Y196" s="105">
        <v>9.4700000000000006</v>
      </c>
      <c r="Z196" s="73" t="s">
        <v>465</v>
      </c>
      <c r="AA196" s="28">
        <v>1200</v>
      </c>
    </row>
    <row r="197" spans="1:27" x14ac:dyDescent="0.25">
      <c r="A197" s="4"/>
      <c r="B197" s="98" t="s">
        <v>1054</v>
      </c>
      <c r="C197" s="75" t="s">
        <v>1008</v>
      </c>
      <c r="D197" s="28" t="s">
        <v>1007</v>
      </c>
      <c r="E197" s="28">
        <f t="shared" si="119"/>
        <v>92145</v>
      </c>
      <c r="F197" s="143" t="str">
        <f>INDEX(PV_Summary!$B$18:$B$118,MATCH($E197,PV_Summary!$A$18:$A$118,0))</f>
        <v>N</v>
      </c>
      <c r="G197" s="123">
        <v>32.886707999999999</v>
      </c>
      <c r="H197" s="61">
        <v>-117.129302</v>
      </c>
      <c r="I197" s="44" t="s">
        <v>210</v>
      </c>
      <c r="J197" s="46">
        <f t="shared" si="120"/>
        <v>0.75</v>
      </c>
      <c r="K197" s="100" t="s">
        <v>157</v>
      </c>
      <c r="L197" s="44" t="str">
        <f t="shared" si="121"/>
        <v/>
      </c>
      <c r="M197" s="46">
        <f t="shared" si="122"/>
        <v>0.75</v>
      </c>
      <c r="N197" s="46"/>
      <c r="O197" s="41">
        <f t="shared" si="101"/>
        <v>0</v>
      </c>
      <c r="Q197" s="44" t="s">
        <v>172</v>
      </c>
      <c r="S197" s="48">
        <f t="shared" si="102"/>
        <v>0</v>
      </c>
      <c r="T197" s="48">
        <f t="shared" si="123"/>
        <v>0</v>
      </c>
      <c r="U197" s="28" t="s">
        <v>1060</v>
      </c>
      <c r="W197" s="28">
        <v>223</v>
      </c>
      <c r="X197" s="105">
        <v>1.42</v>
      </c>
      <c r="Y197" s="105">
        <v>9.4700000000000006</v>
      </c>
      <c r="Z197" s="73" t="s">
        <v>465</v>
      </c>
      <c r="AA197" s="28">
        <v>1000</v>
      </c>
    </row>
    <row r="198" spans="1:27" x14ac:dyDescent="0.25">
      <c r="A198" s="4"/>
      <c r="B198" s="98" t="s">
        <v>1055</v>
      </c>
      <c r="C198" s="75" t="s">
        <v>1008</v>
      </c>
      <c r="D198" s="28" t="s">
        <v>1007</v>
      </c>
      <c r="E198" s="28">
        <f t="shared" ref="E198" si="124">RIGHT(TRIM(D198),5)*1</f>
        <v>92145</v>
      </c>
      <c r="F198" s="143" t="str">
        <f>INDEX(PV_Summary!$B$18:$B$118,MATCH($E198,PV_Summary!$A$18:$A$118,0))</f>
        <v>N</v>
      </c>
      <c r="G198" s="123">
        <v>32.887132000000001</v>
      </c>
      <c r="H198" s="61">
        <v>-117.128291</v>
      </c>
      <c r="I198" s="44" t="s">
        <v>3</v>
      </c>
      <c r="J198" s="46">
        <f t="shared" ref="J198:J199" si="125">IF(O198&gt;1,Sym_Scl_Aggr_Parent,IF(O198&lt;1,Sym_Scl_Aggr_Child,Sym_Scl_Normal))</f>
        <v>0.75</v>
      </c>
      <c r="K198" s="100"/>
      <c r="L198" s="44" t="str">
        <f t="shared" ref="L198:L199" si="126">IF(O198&gt;1,"Total","")</f>
        <v/>
      </c>
      <c r="M198" s="46">
        <f t="shared" ref="M198:M199" si="127">IF(O198&gt;1,Label_Scl_Aggr_Parent,IF(O198&lt;1,Label_Scl_Aggr_Child,Label_Scl_Normal))</f>
        <v>0.75</v>
      </c>
      <c r="N198" s="46"/>
      <c r="O198" s="41">
        <f t="shared" si="101"/>
        <v>0</v>
      </c>
      <c r="P198" s="42">
        <v>36000</v>
      </c>
      <c r="Q198" s="44" t="s">
        <v>3</v>
      </c>
      <c r="R198" s="28" t="s">
        <v>55</v>
      </c>
      <c r="S198" s="48">
        <f t="shared" si="102"/>
        <v>252000</v>
      </c>
      <c r="T198" s="48">
        <f t="shared" si="123"/>
        <v>0</v>
      </c>
      <c r="W198" s="28">
        <v>223</v>
      </c>
      <c r="X198" s="105">
        <v>1.42</v>
      </c>
      <c r="Y198" s="105">
        <v>9.4700000000000006</v>
      </c>
      <c r="Z198" s="73" t="s">
        <v>465</v>
      </c>
      <c r="AA198" s="28">
        <v>1200</v>
      </c>
    </row>
    <row r="199" spans="1:27" x14ac:dyDescent="0.25">
      <c r="A199" s="4"/>
      <c r="B199" s="98" t="s">
        <v>1056</v>
      </c>
      <c r="C199" s="75" t="s">
        <v>1008</v>
      </c>
      <c r="D199" s="28" t="s">
        <v>1007</v>
      </c>
      <c r="E199" s="28">
        <f t="shared" si="119"/>
        <v>92145</v>
      </c>
      <c r="F199" s="143" t="str">
        <f>INDEX(PV_Summary!$B$18:$B$118,MATCH($E199,PV_Summary!$A$18:$A$118,0))</f>
        <v>N</v>
      </c>
      <c r="G199" s="123">
        <v>32.885562</v>
      </c>
      <c r="H199" s="61">
        <v>-117.12986100000001</v>
      </c>
      <c r="I199" s="44" t="s">
        <v>3</v>
      </c>
      <c r="J199" s="46">
        <f t="shared" si="125"/>
        <v>0.75</v>
      </c>
      <c r="K199" s="100"/>
      <c r="L199" s="44" t="str">
        <f t="shared" si="126"/>
        <v/>
      </c>
      <c r="M199" s="46">
        <f t="shared" si="127"/>
        <v>0.75</v>
      </c>
      <c r="N199" s="46"/>
      <c r="O199" s="41">
        <f t="shared" si="101"/>
        <v>0</v>
      </c>
      <c r="P199" s="42">
        <v>50000</v>
      </c>
      <c r="Q199" s="44" t="s">
        <v>3</v>
      </c>
      <c r="R199" s="28" t="s">
        <v>55</v>
      </c>
      <c r="S199" s="48">
        <f t="shared" si="102"/>
        <v>350000</v>
      </c>
      <c r="T199" s="48">
        <f t="shared" si="123"/>
        <v>0</v>
      </c>
      <c r="W199" s="28">
        <v>223</v>
      </c>
      <c r="X199" s="105">
        <v>1.42</v>
      </c>
      <c r="Y199" s="105">
        <v>9.4700000000000006</v>
      </c>
      <c r="Z199" s="73" t="s">
        <v>465</v>
      </c>
      <c r="AA199" s="28">
        <v>600</v>
      </c>
    </row>
    <row r="200" spans="1:27" x14ac:dyDescent="0.25">
      <c r="A200" s="4"/>
      <c r="B200" s="98" t="s">
        <v>1057</v>
      </c>
      <c r="C200" s="75" t="s">
        <v>1008</v>
      </c>
      <c r="D200" s="28" t="s">
        <v>1007</v>
      </c>
      <c r="E200" s="28">
        <f t="shared" si="119"/>
        <v>92145</v>
      </c>
      <c r="F200" s="143" t="str">
        <f>INDEX(PV_Summary!$B$18:$B$118,MATCH($E200,PV_Summary!$A$18:$A$118,0))</f>
        <v>N</v>
      </c>
      <c r="G200" s="123">
        <v>32.884720999999999</v>
      </c>
      <c r="H200" s="61">
        <v>-117.130712</v>
      </c>
      <c r="I200" s="44" t="s">
        <v>3</v>
      </c>
      <c r="J200" s="46">
        <f t="shared" si="120"/>
        <v>0.75</v>
      </c>
      <c r="K200" s="100"/>
      <c r="L200" s="44" t="str">
        <f t="shared" si="121"/>
        <v/>
      </c>
      <c r="M200" s="46">
        <f t="shared" si="122"/>
        <v>0.75</v>
      </c>
      <c r="N200" s="46"/>
      <c r="O200" s="41">
        <f t="shared" si="101"/>
        <v>0</v>
      </c>
      <c r="P200" s="42">
        <v>32000</v>
      </c>
      <c r="Q200" s="44" t="s">
        <v>3</v>
      </c>
      <c r="R200" s="28" t="s">
        <v>55</v>
      </c>
      <c r="S200" s="48">
        <f t="shared" si="102"/>
        <v>224000</v>
      </c>
      <c r="T200" s="48">
        <f t="shared" si="123"/>
        <v>0</v>
      </c>
      <c r="W200" s="28">
        <v>223</v>
      </c>
      <c r="X200" s="105">
        <v>1.42</v>
      </c>
      <c r="Y200" s="105">
        <v>9.4700000000000006</v>
      </c>
      <c r="Z200" s="73" t="s">
        <v>465</v>
      </c>
      <c r="AA200" s="28">
        <v>200</v>
      </c>
    </row>
    <row r="201" spans="1:27" x14ac:dyDescent="0.25">
      <c r="A201" s="4"/>
      <c r="B201" s="98" t="s">
        <v>1058</v>
      </c>
      <c r="C201" s="75" t="s">
        <v>1008</v>
      </c>
      <c r="D201" s="28" t="s">
        <v>1007</v>
      </c>
      <c r="E201" s="28">
        <f t="shared" si="119"/>
        <v>92145</v>
      </c>
      <c r="F201" s="143" t="str">
        <f>INDEX(PV_Summary!$B$18:$B$118,MATCH($E201,PV_Summary!$A$18:$A$118,0))</f>
        <v>N</v>
      </c>
      <c r="G201" s="123">
        <v>32.884520999999999</v>
      </c>
      <c r="H201" s="61">
        <v>-117.127706</v>
      </c>
      <c r="I201" s="44" t="s">
        <v>3</v>
      </c>
      <c r="J201" s="46">
        <f t="shared" si="120"/>
        <v>0.75</v>
      </c>
      <c r="K201" s="100"/>
      <c r="L201" s="44" t="str">
        <f t="shared" si="121"/>
        <v/>
      </c>
      <c r="M201" s="46">
        <f t="shared" si="122"/>
        <v>0.75</v>
      </c>
      <c r="N201" s="46"/>
      <c r="O201" s="41">
        <f t="shared" si="101"/>
        <v>0</v>
      </c>
      <c r="P201" s="42">
        <v>107000</v>
      </c>
      <c r="Q201" s="44" t="s">
        <v>3</v>
      </c>
      <c r="R201" s="28" t="s">
        <v>55</v>
      </c>
      <c r="S201" s="48">
        <f t="shared" si="102"/>
        <v>749000</v>
      </c>
      <c r="T201" s="48">
        <f t="shared" si="123"/>
        <v>0</v>
      </c>
      <c r="W201" s="28">
        <v>223</v>
      </c>
      <c r="X201" s="105">
        <v>1.42</v>
      </c>
      <c r="Y201" s="105">
        <v>9.4700000000000006</v>
      </c>
      <c r="Z201" s="73" t="s">
        <v>465</v>
      </c>
      <c r="AA201" s="28">
        <v>200</v>
      </c>
    </row>
    <row r="202" spans="1:27" x14ac:dyDescent="0.25">
      <c r="A202" s="4"/>
      <c r="B202" s="98" t="s">
        <v>1059</v>
      </c>
      <c r="C202" s="75" t="s">
        <v>1008</v>
      </c>
      <c r="D202" s="28" t="s">
        <v>1007</v>
      </c>
      <c r="E202" s="28">
        <f t="shared" si="119"/>
        <v>92145</v>
      </c>
      <c r="F202" s="143" t="str">
        <f>INDEX(PV_Summary!$B$18:$B$118,MATCH($E202,PV_Summary!$A$18:$A$118,0))</f>
        <v>N</v>
      </c>
      <c r="G202" s="123">
        <v>32.887090000000001</v>
      </c>
      <c r="H202" s="61">
        <v>-117.12497</v>
      </c>
      <c r="I202" s="44" t="s">
        <v>3</v>
      </c>
      <c r="J202" s="46">
        <f t="shared" si="120"/>
        <v>0.75</v>
      </c>
      <c r="K202" s="100"/>
      <c r="L202" s="44" t="str">
        <f t="shared" si="121"/>
        <v/>
      </c>
      <c r="M202" s="46">
        <f t="shared" si="122"/>
        <v>0.75</v>
      </c>
      <c r="N202" s="46"/>
      <c r="O202" s="41">
        <f t="shared" si="101"/>
        <v>0</v>
      </c>
      <c r="P202" s="42">
        <v>58000</v>
      </c>
      <c r="Q202" s="44" t="s">
        <v>3</v>
      </c>
      <c r="R202" s="28" t="s">
        <v>55</v>
      </c>
      <c r="S202" s="48">
        <f t="shared" si="102"/>
        <v>406000</v>
      </c>
      <c r="T202" s="48">
        <f t="shared" si="123"/>
        <v>0</v>
      </c>
      <c r="W202" s="28">
        <v>223</v>
      </c>
      <c r="X202" s="105">
        <v>1.42</v>
      </c>
      <c r="Y202" s="105">
        <v>9.4700000000000006</v>
      </c>
      <c r="Z202" s="73" t="s">
        <v>465</v>
      </c>
      <c r="AA202" s="28">
        <v>1200</v>
      </c>
    </row>
    <row r="203" spans="1:27" x14ac:dyDescent="0.25">
      <c r="A203" s="4"/>
      <c r="B203" s="98" t="s">
        <v>1061</v>
      </c>
      <c r="C203" s="75" t="s">
        <v>1008</v>
      </c>
      <c r="D203" s="28" t="s">
        <v>1007</v>
      </c>
      <c r="E203" s="28">
        <f t="shared" si="119"/>
        <v>92145</v>
      </c>
      <c r="F203" s="143" t="str">
        <f>INDEX(PV_Summary!$B$18:$B$118,MATCH($E203,PV_Summary!$A$18:$A$118,0))</f>
        <v>N</v>
      </c>
      <c r="G203" s="123">
        <v>32.884450000000001</v>
      </c>
      <c r="H203" s="61">
        <v>-117.12394500000001</v>
      </c>
      <c r="I203" s="44" t="s">
        <v>3</v>
      </c>
      <c r="J203" s="46">
        <f t="shared" si="120"/>
        <v>0.75</v>
      </c>
      <c r="K203" s="100"/>
      <c r="L203" s="44" t="str">
        <f t="shared" si="121"/>
        <v/>
      </c>
      <c r="M203" s="46">
        <f t="shared" si="122"/>
        <v>0.75</v>
      </c>
      <c r="N203" s="46"/>
      <c r="O203" s="41">
        <f t="shared" si="101"/>
        <v>0</v>
      </c>
      <c r="P203" s="42">
        <v>23000</v>
      </c>
      <c r="Q203" s="44" t="s">
        <v>3</v>
      </c>
      <c r="R203" s="28" t="s">
        <v>55</v>
      </c>
      <c r="S203" s="48">
        <f t="shared" si="102"/>
        <v>161000</v>
      </c>
      <c r="T203" s="48">
        <f t="shared" si="123"/>
        <v>0</v>
      </c>
      <c r="W203" s="28">
        <v>223</v>
      </c>
      <c r="X203" s="105">
        <v>1.42</v>
      </c>
      <c r="Y203" s="105">
        <v>9.4700000000000006</v>
      </c>
      <c r="Z203" s="73" t="s">
        <v>465</v>
      </c>
      <c r="AA203" s="28">
        <v>200</v>
      </c>
    </row>
    <row r="204" spans="1:27" x14ac:dyDescent="0.25">
      <c r="A204" s="4"/>
      <c r="B204" s="98" t="s">
        <v>1062</v>
      </c>
      <c r="C204" s="75" t="s">
        <v>1008</v>
      </c>
      <c r="D204" s="28" t="s">
        <v>1007</v>
      </c>
      <c r="E204" s="28">
        <f t="shared" si="119"/>
        <v>92145</v>
      </c>
      <c r="F204" s="143" t="str">
        <f>INDEX(PV_Summary!$B$18:$B$118,MATCH($E204,PV_Summary!$A$18:$A$118,0))</f>
        <v>N</v>
      </c>
      <c r="G204" s="123">
        <v>32.885022999999997</v>
      </c>
      <c r="H204" s="61">
        <v>-117.121583</v>
      </c>
      <c r="I204" s="44" t="s">
        <v>3</v>
      </c>
      <c r="J204" s="46">
        <f t="shared" si="120"/>
        <v>0.75</v>
      </c>
      <c r="K204" s="100"/>
      <c r="L204" s="44" t="str">
        <f t="shared" si="121"/>
        <v/>
      </c>
      <c r="M204" s="46">
        <f t="shared" si="122"/>
        <v>0.75</v>
      </c>
      <c r="N204" s="46"/>
      <c r="O204" s="41">
        <f t="shared" si="101"/>
        <v>0</v>
      </c>
      <c r="P204" s="42">
        <v>87000</v>
      </c>
      <c r="Q204" s="44" t="s">
        <v>3</v>
      </c>
      <c r="R204" s="28" t="s">
        <v>55</v>
      </c>
      <c r="S204" s="48">
        <f t="shared" si="102"/>
        <v>609000</v>
      </c>
      <c r="T204" s="48">
        <f t="shared" si="123"/>
        <v>0</v>
      </c>
      <c r="W204" s="28">
        <v>223</v>
      </c>
      <c r="X204" s="105">
        <v>1.42</v>
      </c>
      <c r="Y204" s="105">
        <v>9.4700000000000006</v>
      </c>
      <c r="Z204" s="73" t="s">
        <v>465</v>
      </c>
      <c r="AA204" s="28">
        <v>400</v>
      </c>
    </row>
    <row r="205" spans="1:27" x14ac:dyDescent="0.25">
      <c r="A205" s="4"/>
      <c r="B205" s="98" t="s">
        <v>1063</v>
      </c>
      <c r="C205" s="75" t="s">
        <v>1008</v>
      </c>
      <c r="D205" s="28" t="s">
        <v>1007</v>
      </c>
      <c r="E205" s="28">
        <f t="shared" ref="E205" si="128">RIGHT(TRIM(D205),5)*1</f>
        <v>92145</v>
      </c>
      <c r="F205" s="143" t="str">
        <f>INDEX(PV_Summary!$B$18:$B$118,MATCH($E205,PV_Summary!$A$18:$A$118,0))</f>
        <v>N</v>
      </c>
      <c r="G205" s="123">
        <v>32.887417999999997</v>
      </c>
      <c r="H205" s="61">
        <v>-117.12103999999999</v>
      </c>
      <c r="I205" s="44" t="s">
        <v>3</v>
      </c>
      <c r="J205" s="46">
        <f t="shared" ref="J205:J206" si="129">IF(O205&gt;1,Sym_Scl_Aggr_Parent,IF(O205&lt;1,Sym_Scl_Aggr_Child,Sym_Scl_Normal))</f>
        <v>0.75</v>
      </c>
      <c r="K205" s="100"/>
      <c r="L205" s="44" t="str">
        <f t="shared" ref="L205:L206" si="130">IF(O205&gt;1,"Total","")</f>
        <v/>
      </c>
      <c r="M205" s="46">
        <f t="shared" ref="M205:M206" si="131">IF(O205&gt;1,Label_Scl_Aggr_Parent,IF(O205&lt;1,Label_Scl_Aggr_Child,Label_Scl_Normal))</f>
        <v>0.75</v>
      </c>
      <c r="N205" s="46"/>
      <c r="O205" s="41">
        <f t="shared" si="101"/>
        <v>0</v>
      </c>
      <c r="P205" s="42">
        <v>17000</v>
      </c>
      <c r="Q205" s="44" t="s">
        <v>3</v>
      </c>
      <c r="R205" s="28" t="s">
        <v>55</v>
      </c>
      <c r="S205" s="48">
        <f t="shared" si="102"/>
        <v>119000</v>
      </c>
      <c r="T205" s="48">
        <f t="shared" si="123"/>
        <v>0</v>
      </c>
      <c r="W205" s="28">
        <v>223</v>
      </c>
      <c r="X205" s="105">
        <v>1.42</v>
      </c>
      <c r="Y205" s="105">
        <v>9.4700000000000006</v>
      </c>
      <c r="Z205" s="73" t="s">
        <v>465</v>
      </c>
      <c r="AA205" s="28">
        <v>1300</v>
      </c>
    </row>
    <row r="206" spans="1:27" x14ac:dyDescent="0.25">
      <c r="A206" s="4"/>
      <c r="B206" s="98" t="s">
        <v>1064</v>
      </c>
      <c r="C206" s="75" t="s">
        <v>1008</v>
      </c>
      <c r="D206" s="28" t="s">
        <v>1007</v>
      </c>
      <c r="E206" s="28">
        <f t="shared" si="119"/>
        <v>92145</v>
      </c>
      <c r="F206" s="143" t="str">
        <f>INDEX(PV_Summary!$B$18:$B$118,MATCH($E206,PV_Summary!$A$18:$A$118,0))</f>
        <v>N</v>
      </c>
      <c r="G206" s="123">
        <v>32.887144999999997</v>
      </c>
      <c r="H206" s="61">
        <v>-117.119362</v>
      </c>
      <c r="I206" s="44" t="s">
        <v>3</v>
      </c>
      <c r="J206" s="46">
        <f t="shared" si="129"/>
        <v>0.75</v>
      </c>
      <c r="K206" s="100"/>
      <c r="L206" s="44" t="str">
        <f t="shared" si="130"/>
        <v/>
      </c>
      <c r="M206" s="46">
        <f t="shared" si="131"/>
        <v>0.75</v>
      </c>
      <c r="N206" s="46"/>
      <c r="O206" s="41">
        <f t="shared" si="101"/>
        <v>0</v>
      </c>
      <c r="P206" s="42">
        <f>96000 - N("pkg lot perimeter") - 28000 - N("sidewalk perimeter")</f>
        <v>68000</v>
      </c>
      <c r="Q206" s="44" t="s">
        <v>3</v>
      </c>
      <c r="R206" s="28" t="s">
        <v>55</v>
      </c>
      <c r="S206" s="48">
        <f t="shared" si="102"/>
        <v>476000</v>
      </c>
      <c r="T206" s="48">
        <f t="shared" si="123"/>
        <v>0</v>
      </c>
      <c r="W206" s="28">
        <v>223</v>
      </c>
      <c r="X206" s="105">
        <v>1.42</v>
      </c>
      <c r="Y206" s="105">
        <v>9.4700000000000006</v>
      </c>
      <c r="Z206" s="73" t="s">
        <v>465</v>
      </c>
      <c r="AA206" s="28">
        <v>1250</v>
      </c>
    </row>
    <row r="207" spans="1:27" x14ac:dyDescent="0.25">
      <c r="A207" s="4"/>
      <c r="B207" s="98" t="s">
        <v>1065</v>
      </c>
      <c r="C207" s="75" t="s">
        <v>1008</v>
      </c>
      <c r="D207" s="28" t="s">
        <v>1007</v>
      </c>
      <c r="E207" s="28">
        <f t="shared" ref="E207" si="132">RIGHT(TRIM(D207),5)*1</f>
        <v>92145</v>
      </c>
      <c r="F207" s="143" t="str">
        <f>INDEX(PV_Summary!$B$18:$B$118,MATCH($E207,PV_Summary!$A$18:$A$118,0))</f>
        <v>N</v>
      </c>
      <c r="G207" s="123">
        <v>32.885421000000001</v>
      </c>
      <c r="H207" s="61">
        <v>-117.119353</v>
      </c>
      <c r="I207" s="44" t="s">
        <v>3</v>
      </c>
      <c r="J207" s="46">
        <f t="shared" ref="J207" si="133">IF(O207&gt;1,Sym_Scl_Aggr_Parent,IF(O207&lt;1,Sym_Scl_Aggr_Child,Sym_Scl_Normal))</f>
        <v>0.75</v>
      </c>
      <c r="K207" s="100"/>
      <c r="L207" s="44" t="str">
        <f t="shared" ref="L207" si="134">IF(O207&gt;1,"Total","")</f>
        <v/>
      </c>
      <c r="M207" s="46">
        <f t="shared" ref="M207" si="135">IF(O207&gt;1,Label_Scl_Aggr_Parent,IF(O207&lt;1,Label_Scl_Aggr_Child,Label_Scl_Normal))</f>
        <v>0.75</v>
      </c>
      <c r="N207" s="46"/>
      <c r="O207" s="41">
        <f t="shared" si="101"/>
        <v>0</v>
      </c>
      <c r="P207" s="42">
        <f>80000 + N("perimeter area") - 29000 - N("sidewalk area")</f>
        <v>51000</v>
      </c>
      <c r="Q207" s="44" t="s">
        <v>3</v>
      </c>
      <c r="R207" s="28" t="s">
        <v>55</v>
      </c>
      <c r="S207" s="48">
        <f t="shared" si="102"/>
        <v>357000</v>
      </c>
      <c r="T207" s="48">
        <f t="shared" si="123"/>
        <v>0</v>
      </c>
      <c r="W207" s="28">
        <v>223</v>
      </c>
      <c r="X207" s="105">
        <v>1.42</v>
      </c>
      <c r="Y207" s="105">
        <v>9.4700000000000006</v>
      </c>
      <c r="Z207" s="73" t="s">
        <v>465</v>
      </c>
      <c r="AA207" s="28">
        <v>500</v>
      </c>
    </row>
    <row r="208" spans="1:27" x14ac:dyDescent="0.25">
      <c r="A208" s="4"/>
      <c r="B208" s="98" t="s">
        <v>1066</v>
      </c>
      <c r="C208" s="75" t="s">
        <v>1008</v>
      </c>
      <c r="D208" s="28" t="s">
        <v>1007</v>
      </c>
      <c r="E208" s="28">
        <f t="shared" ref="E208" si="136">RIGHT(TRIM(D208),5)*1</f>
        <v>92145</v>
      </c>
      <c r="F208" s="143" t="str">
        <f>INDEX(PV_Summary!$B$18:$B$118,MATCH($E208,PV_Summary!$A$18:$A$118,0))</f>
        <v>N</v>
      </c>
      <c r="G208" s="123">
        <v>32.885776999999997</v>
      </c>
      <c r="H208" s="61">
        <v>-117.118287</v>
      </c>
      <c r="I208" s="44" t="s">
        <v>3</v>
      </c>
      <c r="J208" s="46">
        <f t="shared" ref="J208" si="137">IF(O208&gt;1,Sym_Scl_Aggr_Parent,IF(O208&lt;1,Sym_Scl_Aggr_Child,Sym_Scl_Normal))</f>
        <v>0.75</v>
      </c>
      <c r="K208" s="100"/>
      <c r="L208" s="44" t="str">
        <f t="shared" ref="L208" si="138">IF(O208&gt;1,"Total","")</f>
        <v/>
      </c>
      <c r="M208" s="46">
        <f t="shared" ref="M208" si="139">IF(O208&gt;1,Label_Scl_Aggr_Parent,IF(O208&lt;1,Label_Scl_Aggr_Child,Label_Scl_Normal))</f>
        <v>0.75</v>
      </c>
      <c r="N208" s="46"/>
      <c r="O208" s="41">
        <f t="shared" si="101"/>
        <v>0</v>
      </c>
      <c r="P208" s="42">
        <v>107000</v>
      </c>
      <c r="Q208" s="44" t="s">
        <v>3</v>
      </c>
      <c r="R208" s="28" t="s">
        <v>55</v>
      </c>
      <c r="S208" s="48">
        <f t="shared" si="102"/>
        <v>749000</v>
      </c>
      <c r="T208" s="48">
        <f t="shared" si="123"/>
        <v>0</v>
      </c>
      <c r="W208" s="28">
        <v>223</v>
      </c>
      <c r="X208" s="105">
        <v>1.42</v>
      </c>
      <c r="Y208" s="105">
        <v>9.4700000000000006</v>
      </c>
      <c r="Z208" s="73" t="s">
        <v>465</v>
      </c>
      <c r="AA208" s="28">
        <v>600</v>
      </c>
    </row>
    <row r="209" spans="1:27" x14ac:dyDescent="0.25">
      <c r="A209" s="4"/>
      <c r="B209" s="98" t="s">
        <v>1067</v>
      </c>
      <c r="C209" s="75" t="s">
        <v>1008</v>
      </c>
      <c r="D209" s="28" t="s">
        <v>1007</v>
      </c>
      <c r="E209" s="28">
        <f t="shared" ref="E209:E222" si="140">RIGHT(TRIM(D209),5)*1</f>
        <v>92145</v>
      </c>
      <c r="F209" s="143" t="str">
        <f>INDEX(PV_Summary!$B$18:$B$118,MATCH($E209,PV_Summary!$A$18:$A$118,0))</f>
        <v>N</v>
      </c>
      <c r="G209" s="123">
        <v>32.889777000000002</v>
      </c>
      <c r="H209" s="61">
        <v>-117.13853400000001</v>
      </c>
      <c r="I209" s="44" t="s">
        <v>3</v>
      </c>
      <c r="J209" s="46">
        <f t="shared" ref="J209:J219" si="141">IF(O209&gt;1,Sym_Scl_Aggr_Parent,IF(O209&lt;1,Sym_Scl_Aggr_Child,Sym_Scl_Normal))</f>
        <v>0.75</v>
      </c>
      <c r="K209" s="100"/>
      <c r="L209" s="44" t="str">
        <f t="shared" ref="L209:L219" si="142">IF(O209&gt;1,"Total","")</f>
        <v/>
      </c>
      <c r="M209" s="46">
        <f t="shared" ref="M209:M219" si="143">IF(O209&gt;1,Label_Scl_Aggr_Parent,IF(O209&lt;1,Label_Scl_Aggr_Child,Label_Scl_Normal))</f>
        <v>0.75</v>
      </c>
      <c r="N209" s="46"/>
      <c r="O209" s="41">
        <f t="shared" si="101"/>
        <v>0</v>
      </c>
      <c r="P209" s="42">
        <v>61000</v>
      </c>
      <c r="Q209" s="44" t="s">
        <v>3</v>
      </c>
      <c r="R209" s="28" t="s">
        <v>55</v>
      </c>
      <c r="S209" s="48">
        <f t="shared" si="102"/>
        <v>427000</v>
      </c>
      <c r="T209" s="48">
        <f t="shared" si="123"/>
        <v>0</v>
      </c>
      <c r="W209" s="28">
        <v>223</v>
      </c>
      <c r="X209" s="105">
        <v>1.42</v>
      </c>
      <c r="Y209" s="105">
        <v>9.4700000000000006</v>
      </c>
      <c r="Z209" s="73" t="s">
        <v>465</v>
      </c>
      <c r="AA209" s="28">
        <v>2300</v>
      </c>
    </row>
    <row r="210" spans="1:27" x14ac:dyDescent="0.25">
      <c r="A210" s="4"/>
      <c r="B210" s="98" t="s">
        <v>1068</v>
      </c>
      <c r="C210" s="75" t="s">
        <v>1008</v>
      </c>
      <c r="D210" s="28" t="s">
        <v>1007</v>
      </c>
      <c r="E210" s="28">
        <f t="shared" si="140"/>
        <v>92145</v>
      </c>
      <c r="F210" s="143" t="str">
        <f>INDEX(PV_Summary!$B$18:$B$118,MATCH($E210,PV_Summary!$A$18:$A$118,0))</f>
        <v>N</v>
      </c>
      <c r="G210" s="123">
        <v>32.889366000000003</v>
      </c>
      <c r="H210" s="61">
        <v>-117.13716599999999</v>
      </c>
      <c r="I210" s="44" t="s">
        <v>3</v>
      </c>
      <c r="J210" s="46">
        <f t="shared" si="141"/>
        <v>0.75</v>
      </c>
      <c r="K210" s="100"/>
      <c r="L210" s="44" t="str">
        <f t="shared" si="142"/>
        <v/>
      </c>
      <c r="M210" s="46">
        <f t="shared" si="143"/>
        <v>0.75</v>
      </c>
      <c r="N210" s="46"/>
      <c r="O210" s="41">
        <f t="shared" si="101"/>
        <v>0</v>
      </c>
      <c r="P210" s="42">
        <v>17000</v>
      </c>
      <c r="Q210" s="44" t="s">
        <v>3</v>
      </c>
      <c r="R210" s="28" t="s">
        <v>55</v>
      </c>
      <c r="S210" s="48">
        <f t="shared" si="102"/>
        <v>119000</v>
      </c>
      <c r="T210" s="48">
        <f t="shared" si="123"/>
        <v>0</v>
      </c>
      <c r="W210" s="28">
        <v>223</v>
      </c>
      <c r="X210" s="105">
        <v>1.42</v>
      </c>
      <c r="Y210" s="105">
        <v>9.4700000000000006</v>
      </c>
      <c r="Z210" s="73" t="s">
        <v>465</v>
      </c>
      <c r="AA210" s="28">
        <v>2200</v>
      </c>
    </row>
    <row r="211" spans="1:27" x14ac:dyDescent="0.25">
      <c r="A211" s="4"/>
      <c r="B211" s="98" t="s">
        <v>1069</v>
      </c>
      <c r="C211" s="75" t="s">
        <v>1008</v>
      </c>
      <c r="D211" s="28" t="s">
        <v>1007</v>
      </c>
      <c r="E211" s="28">
        <f t="shared" si="140"/>
        <v>92145</v>
      </c>
      <c r="F211" s="143" t="str">
        <f>INDEX(PV_Summary!$B$18:$B$118,MATCH($E211,PV_Summary!$A$18:$A$118,0))</f>
        <v>N</v>
      </c>
      <c r="G211" s="123">
        <v>32.889198</v>
      </c>
      <c r="H211" s="61">
        <v>-117.134362</v>
      </c>
      <c r="I211" s="44" t="s">
        <v>3</v>
      </c>
      <c r="J211" s="46">
        <f t="shared" si="141"/>
        <v>0.75</v>
      </c>
      <c r="K211" s="100"/>
      <c r="L211" s="44" t="str">
        <f t="shared" si="142"/>
        <v/>
      </c>
      <c r="M211" s="46">
        <f t="shared" si="143"/>
        <v>0.75</v>
      </c>
      <c r="N211" s="46"/>
      <c r="O211" s="41">
        <f t="shared" si="101"/>
        <v>0</v>
      </c>
      <c r="P211" s="42">
        <v>15000</v>
      </c>
      <c r="Q211" s="44" t="s">
        <v>3</v>
      </c>
      <c r="R211" s="28" t="s">
        <v>55</v>
      </c>
      <c r="S211" s="48">
        <f t="shared" si="102"/>
        <v>105000</v>
      </c>
      <c r="T211" s="48">
        <f t="shared" si="123"/>
        <v>0</v>
      </c>
      <c r="W211" s="28">
        <v>223</v>
      </c>
      <c r="X211" s="105">
        <v>1.42</v>
      </c>
      <c r="Y211" s="105">
        <v>9.4700000000000006</v>
      </c>
      <c r="Z211" s="73" t="s">
        <v>465</v>
      </c>
      <c r="AA211" s="28">
        <v>2000</v>
      </c>
    </row>
    <row r="212" spans="1:27" x14ac:dyDescent="0.25">
      <c r="A212" s="4"/>
      <c r="B212" s="98" t="s">
        <v>1070</v>
      </c>
      <c r="C212" s="75" t="s">
        <v>1008</v>
      </c>
      <c r="D212" s="28" t="s">
        <v>1007</v>
      </c>
      <c r="E212" s="28">
        <f t="shared" si="140"/>
        <v>92145</v>
      </c>
      <c r="F212" s="143" t="str">
        <f>INDEX(PV_Summary!$B$18:$B$118,MATCH($E212,PV_Summary!$A$18:$A$118,0))</f>
        <v>N</v>
      </c>
      <c r="G212" s="123">
        <v>32.889208000000004</v>
      </c>
      <c r="H212" s="61">
        <v>-117.133432</v>
      </c>
      <c r="I212" s="44" t="s">
        <v>3</v>
      </c>
      <c r="J212" s="46">
        <f t="shared" si="141"/>
        <v>0.75</v>
      </c>
      <c r="K212" s="100"/>
      <c r="L212" s="44" t="str">
        <f t="shared" si="142"/>
        <v/>
      </c>
      <c r="M212" s="46">
        <f t="shared" si="143"/>
        <v>0.75</v>
      </c>
      <c r="N212" s="46"/>
      <c r="O212" s="41">
        <f t="shared" si="101"/>
        <v>0</v>
      </c>
      <c r="P212" s="42">
        <v>31000</v>
      </c>
      <c r="Q212" s="44" t="s">
        <v>3</v>
      </c>
      <c r="R212" s="28" t="s">
        <v>55</v>
      </c>
      <c r="S212" s="48">
        <f t="shared" si="102"/>
        <v>217000</v>
      </c>
      <c r="T212" s="48">
        <f t="shared" si="123"/>
        <v>0</v>
      </c>
      <c r="W212" s="28">
        <v>223</v>
      </c>
      <c r="X212" s="105">
        <v>1.42</v>
      </c>
      <c r="Y212" s="105">
        <v>9.4700000000000006</v>
      </c>
      <c r="Z212" s="73" t="s">
        <v>465</v>
      </c>
      <c r="AA212" s="28">
        <v>2000</v>
      </c>
    </row>
    <row r="213" spans="1:27" x14ac:dyDescent="0.25">
      <c r="A213" s="4"/>
      <c r="B213" s="98" t="s">
        <v>1071</v>
      </c>
      <c r="C213" s="75" t="s">
        <v>1008</v>
      </c>
      <c r="D213" s="28" t="s">
        <v>1007</v>
      </c>
      <c r="E213" s="28">
        <f t="shared" si="140"/>
        <v>92145</v>
      </c>
      <c r="F213" s="143" t="str">
        <f>INDEX(PV_Summary!$B$18:$B$118,MATCH($E213,PV_Summary!$A$18:$A$118,0))</f>
        <v>N</v>
      </c>
      <c r="G213" s="123">
        <v>32.889242000000003</v>
      </c>
      <c r="H213" s="61">
        <v>-117.132321</v>
      </c>
      <c r="I213" s="44" t="s">
        <v>3</v>
      </c>
      <c r="J213" s="46">
        <f t="shared" si="141"/>
        <v>0.75</v>
      </c>
      <c r="K213" s="100"/>
      <c r="L213" s="44" t="str">
        <f t="shared" si="142"/>
        <v/>
      </c>
      <c r="M213" s="46">
        <f t="shared" si="143"/>
        <v>0.75</v>
      </c>
      <c r="N213" s="46"/>
      <c r="O213" s="41">
        <f t="shared" si="101"/>
        <v>0</v>
      </c>
      <c r="P213" s="42">
        <v>28000</v>
      </c>
      <c r="Q213" s="44" t="s">
        <v>3</v>
      </c>
      <c r="R213" s="28" t="s">
        <v>55</v>
      </c>
      <c r="S213" s="48">
        <f t="shared" si="102"/>
        <v>196000</v>
      </c>
      <c r="T213" s="48">
        <f t="shared" si="123"/>
        <v>0</v>
      </c>
      <c r="W213" s="28">
        <v>223</v>
      </c>
      <c r="X213" s="105">
        <v>1.42</v>
      </c>
      <c r="Y213" s="105">
        <v>9.4700000000000006</v>
      </c>
      <c r="Z213" s="73" t="s">
        <v>465</v>
      </c>
      <c r="AA213" s="28">
        <v>2000</v>
      </c>
    </row>
    <row r="214" spans="1:27" x14ac:dyDescent="0.25">
      <c r="A214" s="4"/>
      <c r="B214" s="98" t="s">
        <v>1072</v>
      </c>
      <c r="C214" s="75" t="s">
        <v>1008</v>
      </c>
      <c r="D214" s="28" t="s">
        <v>1007</v>
      </c>
      <c r="E214" s="28">
        <f t="shared" si="140"/>
        <v>92145</v>
      </c>
      <c r="F214" s="143" t="str">
        <f>INDEX(PV_Summary!$B$18:$B$118,MATCH($E214,PV_Summary!$A$18:$A$118,0))</f>
        <v>N</v>
      </c>
      <c r="G214" s="123">
        <v>32.889249999999997</v>
      </c>
      <c r="H214" s="61">
        <v>-117.131529</v>
      </c>
      <c r="I214" s="44" t="s">
        <v>3</v>
      </c>
      <c r="J214" s="46">
        <f t="shared" si="141"/>
        <v>0.75</v>
      </c>
      <c r="K214" s="100"/>
      <c r="L214" s="44" t="str">
        <f t="shared" si="142"/>
        <v/>
      </c>
      <c r="M214" s="46">
        <f t="shared" si="143"/>
        <v>0.75</v>
      </c>
      <c r="N214" s="46"/>
      <c r="O214" s="41">
        <f t="shared" si="101"/>
        <v>0</v>
      </c>
      <c r="P214" s="42">
        <v>16000</v>
      </c>
      <c r="Q214" s="44" t="s">
        <v>3</v>
      </c>
      <c r="R214" s="28" t="s">
        <v>55</v>
      </c>
      <c r="S214" s="48">
        <f t="shared" si="102"/>
        <v>112000</v>
      </c>
      <c r="T214" s="48">
        <f t="shared" si="123"/>
        <v>0</v>
      </c>
      <c r="W214" s="28">
        <v>223</v>
      </c>
      <c r="X214" s="105">
        <v>1.42</v>
      </c>
      <c r="Y214" s="105">
        <v>9.4700000000000006</v>
      </c>
      <c r="Z214" s="73" t="s">
        <v>465</v>
      </c>
      <c r="AA214" s="28">
        <v>2000</v>
      </c>
    </row>
    <row r="215" spans="1:27" x14ac:dyDescent="0.25">
      <c r="A215" s="4"/>
      <c r="B215" s="98" t="s">
        <v>1073</v>
      </c>
      <c r="C215" s="75" t="s">
        <v>1008</v>
      </c>
      <c r="D215" s="28" t="s">
        <v>1007</v>
      </c>
      <c r="E215" s="28">
        <f t="shared" si="140"/>
        <v>92145</v>
      </c>
      <c r="F215" s="143" t="str">
        <f>INDEX(PV_Summary!$B$18:$B$118,MATCH($E215,PV_Summary!$A$18:$A$118,0))</f>
        <v>N</v>
      </c>
      <c r="G215" s="123">
        <v>32.888758000000003</v>
      </c>
      <c r="H215" s="61">
        <v>-117.133948</v>
      </c>
      <c r="I215" s="44" t="s">
        <v>3</v>
      </c>
      <c r="J215" s="46">
        <f t="shared" si="141"/>
        <v>0.75</v>
      </c>
      <c r="K215" s="100"/>
      <c r="L215" s="44" t="str">
        <f t="shared" si="142"/>
        <v/>
      </c>
      <c r="M215" s="46">
        <f t="shared" si="143"/>
        <v>0.75</v>
      </c>
      <c r="N215" s="46"/>
      <c r="O215" s="41">
        <f t="shared" ref="O215:O278" si="144">IF($C215=$C214,0,COUNTIFS(Address,$C215))</f>
        <v>0</v>
      </c>
      <c r="P215" s="42">
        <v>10000</v>
      </c>
      <c r="Q215" s="44" t="s">
        <v>3</v>
      </c>
      <c r="R215" s="28" t="s">
        <v>55</v>
      </c>
      <c r="S215" s="48">
        <f t="shared" si="102"/>
        <v>70000</v>
      </c>
      <c r="T215" s="48">
        <f t="shared" si="123"/>
        <v>0</v>
      </c>
      <c r="W215" s="28">
        <v>223</v>
      </c>
      <c r="X215" s="105">
        <v>1.42</v>
      </c>
      <c r="Y215" s="105">
        <v>9.4700000000000006</v>
      </c>
      <c r="Z215" s="73" t="s">
        <v>465</v>
      </c>
      <c r="AA215" s="28">
        <v>2000</v>
      </c>
    </row>
    <row r="216" spans="1:27" x14ac:dyDescent="0.25">
      <c r="A216" s="4"/>
      <c r="B216" s="98" t="s">
        <v>1074</v>
      </c>
      <c r="C216" s="75" t="s">
        <v>1008</v>
      </c>
      <c r="D216" s="28" t="s">
        <v>1007</v>
      </c>
      <c r="E216" s="28">
        <f t="shared" si="140"/>
        <v>92145</v>
      </c>
      <c r="F216" s="143" t="str">
        <f>INDEX(PV_Summary!$B$18:$B$118,MATCH($E216,PV_Summary!$A$18:$A$118,0))</f>
        <v>N</v>
      </c>
      <c r="G216" s="123">
        <v>32.887794</v>
      </c>
      <c r="H216" s="61">
        <v>-117.1339</v>
      </c>
      <c r="I216" s="44" t="s">
        <v>3</v>
      </c>
      <c r="J216" s="46">
        <f t="shared" si="141"/>
        <v>0.75</v>
      </c>
      <c r="K216" s="100"/>
      <c r="L216" s="44" t="str">
        <f t="shared" si="142"/>
        <v/>
      </c>
      <c r="M216" s="46">
        <f t="shared" si="143"/>
        <v>0.75</v>
      </c>
      <c r="N216" s="46"/>
      <c r="O216" s="41">
        <f t="shared" si="144"/>
        <v>0</v>
      </c>
      <c r="P216" s="42">
        <v>10000</v>
      </c>
      <c r="Q216" s="44" t="s">
        <v>3</v>
      </c>
      <c r="R216" s="28" t="s">
        <v>55</v>
      </c>
      <c r="S216" s="48">
        <f t="shared" si="102"/>
        <v>70000</v>
      </c>
      <c r="T216" s="48">
        <f t="shared" si="123"/>
        <v>0</v>
      </c>
      <c r="W216" s="28">
        <v>223</v>
      </c>
      <c r="X216" s="105">
        <v>1.42</v>
      </c>
      <c r="Y216" s="105">
        <v>9.4700000000000006</v>
      </c>
      <c r="Z216" s="73" t="s">
        <v>465</v>
      </c>
      <c r="AA216" s="28">
        <v>1800</v>
      </c>
    </row>
    <row r="217" spans="1:27" x14ac:dyDescent="0.25">
      <c r="A217" s="4"/>
      <c r="B217" s="98" t="s">
        <v>1075</v>
      </c>
      <c r="C217" s="75" t="s">
        <v>1008</v>
      </c>
      <c r="D217" s="28" t="s">
        <v>1007</v>
      </c>
      <c r="E217" s="28">
        <f t="shared" si="140"/>
        <v>92145</v>
      </c>
      <c r="F217" s="143" t="str">
        <f>INDEX(PV_Summary!$B$18:$B$118,MATCH($E217,PV_Summary!$A$18:$A$118,0))</f>
        <v>N</v>
      </c>
      <c r="G217" s="123">
        <v>32.888759</v>
      </c>
      <c r="H217" s="61">
        <v>-117.132519</v>
      </c>
      <c r="I217" s="44" t="s">
        <v>3</v>
      </c>
      <c r="J217" s="46">
        <f t="shared" si="141"/>
        <v>0.75</v>
      </c>
      <c r="K217" s="100"/>
      <c r="L217" s="44" t="str">
        <f t="shared" si="142"/>
        <v/>
      </c>
      <c r="M217" s="46">
        <f t="shared" si="143"/>
        <v>0.75</v>
      </c>
      <c r="N217" s="46"/>
      <c r="O217" s="41">
        <f t="shared" si="144"/>
        <v>0</v>
      </c>
      <c r="P217" s="42">
        <v>15000</v>
      </c>
      <c r="Q217" s="44" t="s">
        <v>3</v>
      </c>
      <c r="R217" s="28" t="s">
        <v>55</v>
      </c>
      <c r="S217" s="48">
        <f t="shared" si="102"/>
        <v>105000</v>
      </c>
      <c r="T217" s="48">
        <f t="shared" si="123"/>
        <v>0</v>
      </c>
      <c r="W217" s="28">
        <v>223</v>
      </c>
      <c r="X217" s="105">
        <v>1.42</v>
      </c>
      <c r="Y217" s="105">
        <v>9.4700000000000006</v>
      </c>
      <c r="Z217" s="73" t="s">
        <v>465</v>
      </c>
      <c r="AA217" s="28">
        <v>2000</v>
      </c>
    </row>
    <row r="218" spans="1:27" x14ac:dyDescent="0.25">
      <c r="A218" s="4"/>
      <c r="B218" s="98" t="s">
        <v>1076</v>
      </c>
      <c r="C218" s="75" t="s">
        <v>1008</v>
      </c>
      <c r="D218" s="28" t="s">
        <v>1007</v>
      </c>
      <c r="E218" s="28">
        <f t="shared" si="140"/>
        <v>92145</v>
      </c>
      <c r="F218" s="143" t="str">
        <f>INDEX(PV_Summary!$B$18:$B$118,MATCH($E218,PV_Summary!$A$18:$A$118,0))</f>
        <v>N</v>
      </c>
      <c r="G218" s="123">
        <v>32.888629999999999</v>
      </c>
      <c r="H218" s="61">
        <v>-117.13192600000001</v>
      </c>
      <c r="I218" s="44" t="s">
        <v>3</v>
      </c>
      <c r="J218" s="46">
        <f t="shared" si="141"/>
        <v>0.75</v>
      </c>
      <c r="K218" s="100"/>
      <c r="L218" s="44" t="str">
        <f t="shared" si="142"/>
        <v/>
      </c>
      <c r="M218" s="46">
        <f t="shared" si="143"/>
        <v>0.75</v>
      </c>
      <c r="N218" s="46"/>
      <c r="O218" s="41">
        <f t="shared" si="144"/>
        <v>0</v>
      </c>
      <c r="P218" s="42">
        <v>19000</v>
      </c>
      <c r="Q218" s="44" t="s">
        <v>3</v>
      </c>
      <c r="R218" s="28" t="s">
        <v>55</v>
      </c>
      <c r="S218" s="48">
        <f t="shared" si="102"/>
        <v>133000</v>
      </c>
      <c r="T218" s="48">
        <f t="shared" si="123"/>
        <v>0</v>
      </c>
      <c r="W218" s="28">
        <v>223</v>
      </c>
      <c r="X218" s="105">
        <v>1.42</v>
      </c>
      <c r="Y218" s="105">
        <v>9.4700000000000006</v>
      </c>
      <c r="Z218" s="73" t="s">
        <v>465</v>
      </c>
      <c r="AA218" s="28">
        <v>1900</v>
      </c>
    </row>
    <row r="219" spans="1:27" x14ac:dyDescent="0.25">
      <c r="A219" s="4"/>
      <c r="B219" s="98" t="s">
        <v>1077</v>
      </c>
      <c r="C219" s="75" t="s">
        <v>1008</v>
      </c>
      <c r="D219" s="28" t="s">
        <v>1007</v>
      </c>
      <c r="E219" s="28">
        <f t="shared" si="140"/>
        <v>92145</v>
      </c>
      <c r="F219" s="143" t="str">
        <f>INDEX(PV_Summary!$B$18:$B$118,MATCH($E219,PV_Summary!$A$18:$A$118,0))</f>
        <v>N</v>
      </c>
      <c r="G219" s="123">
        <v>32.888018000000002</v>
      </c>
      <c r="H219" s="61">
        <v>-117.131905</v>
      </c>
      <c r="I219" s="44" t="s">
        <v>3</v>
      </c>
      <c r="J219" s="46">
        <f t="shared" si="141"/>
        <v>0.75</v>
      </c>
      <c r="K219" s="100"/>
      <c r="L219" s="44" t="str">
        <f t="shared" si="142"/>
        <v/>
      </c>
      <c r="M219" s="46">
        <f t="shared" si="143"/>
        <v>0.75</v>
      </c>
      <c r="N219" s="46"/>
      <c r="O219" s="41">
        <f t="shared" si="144"/>
        <v>0</v>
      </c>
      <c r="P219" s="42">
        <v>48000</v>
      </c>
      <c r="Q219" s="44" t="s">
        <v>3</v>
      </c>
      <c r="R219" s="28" t="s">
        <v>55</v>
      </c>
      <c r="S219" s="48">
        <f t="shared" si="102"/>
        <v>336000</v>
      </c>
      <c r="T219" s="48">
        <f t="shared" si="123"/>
        <v>0</v>
      </c>
      <c r="W219" s="28">
        <v>223</v>
      </c>
      <c r="X219" s="105">
        <v>1.42</v>
      </c>
      <c r="Y219" s="105">
        <v>9.4700000000000006</v>
      </c>
      <c r="Z219" s="73" t="s">
        <v>465</v>
      </c>
      <c r="AA219" s="28">
        <v>1900</v>
      </c>
    </row>
    <row r="220" spans="1:27" x14ac:dyDescent="0.25">
      <c r="A220" s="4"/>
      <c r="B220" s="98" t="s">
        <v>1126</v>
      </c>
      <c r="C220" s="75" t="s">
        <v>1008</v>
      </c>
      <c r="D220" s="28" t="s">
        <v>1007</v>
      </c>
      <c r="E220" s="28">
        <f t="shared" ref="E220" si="145">RIGHT(TRIM(D220),5)*1</f>
        <v>92145</v>
      </c>
      <c r="F220" s="143" t="str">
        <f>INDEX(PV_Summary!$B$18:$B$118,MATCH($E220,PV_Summary!$A$18:$A$118,0))</f>
        <v>N</v>
      </c>
      <c r="G220" s="123">
        <v>32.888384000000002</v>
      </c>
      <c r="H220" s="61">
        <v>-117.130717</v>
      </c>
      <c r="I220" s="44" t="s">
        <v>3</v>
      </c>
      <c r="J220" s="46">
        <f t="shared" ref="J220:J221" si="146">IF(O220&gt;1,Sym_Scl_Aggr_Parent,IF(O220&lt;1,Sym_Scl_Aggr_Child,Sym_Scl_Normal))</f>
        <v>0.75</v>
      </c>
      <c r="K220" s="100"/>
      <c r="L220" s="44" t="str">
        <f t="shared" ref="L220:L221" si="147">IF(O220&gt;1,"Total","")</f>
        <v/>
      </c>
      <c r="M220" s="46">
        <f t="shared" ref="M220:M221" si="148">IF(O220&gt;1,Label_Scl_Aggr_Parent,IF(O220&lt;1,Label_Scl_Aggr_Child,Label_Scl_Normal))</f>
        <v>0.75</v>
      </c>
      <c r="N220" s="46"/>
      <c r="O220" s="41">
        <f t="shared" si="144"/>
        <v>0</v>
      </c>
      <c r="P220" s="42">
        <v>43000</v>
      </c>
      <c r="Q220" s="44" t="s">
        <v>3</v>
      </c>
      <c r="R220" s="28" t="s">
        <v>55</v>
      </c>
      <c r="S220" s="48">
        <f t="shared" si="102"/>
        <v>301000</v>
      </c>
      <c r="T220" s="48">
        <f t="shared" si="123"/>
        <v>0</v>
      </c>
      <c r="W220" s="28">
        <v>223</v>
      </c>
      <c r="X220" s="105">
        <v>1.42</v>
      </c>
      <c r="Y220" s="105">
        <v>9.4700000000000006</v>
      </c>
      <c r="Z220" s="73" t="s">
        <v>465</v>
      </c>
      <c r="AA220" s="28">
        <v>1900</v>
      </c>
    </row>
    <row r="221" spans="1:27" x14ac:dyDescent="0.25">
      <c r="A221" s="4"/>
      <c r="B221" s="98" t="s">
        <v>1078</v>
      </c>
      <c r="C221" s="75" t="s">
        <v>1008</v>
      </c>
      <c r="D221" s="28" t="s">
        <v>1007</v>
      </c>
      <c r="E221" s="28">
        <f t="shared" si="140"/>
        <v>92145</v>
      </c>
      <c r="F221" s="143" t="str">
        <f>INDEX(PV_Summary!$B$18:$B$118,MATCH($E221,PV_Summary!$A$18:$A$118,0))</f>
        <v>N</v>
      </c>
      <c r="G221" s="123">
        <v>32.887799999999999</v>
      </c>
      <c r="H221" s="61">
        <v>-117.12971</v>
      </c>
      <c r="I221" s="44" t="s">
        <v>3</v>
      </c>
      <c r="J221" s="46">
        <f t="shared" si="146"/>
        <v>0.75</v>
      </c>
      <c r="K221" s="100"/>
      <c r="L221" s="44" t="str">
        <f t="shared" si="147"/>
        <v/>
      </c>
      <c r="M221" s="46">
        <f t="shared" si="148"/>
        <v>0.75</v>
      </c>
      <c r="N221" s="46"/>
      <c r="O221" s="41">
        <f t="shared" si="144"/>
        <v>0</v>
      </c>
      <c r="P221" s="42">
        <v>38000</v>
      </c>
      <c r="Q221" s="44" t="s">
        <v>3</v>
      </c>
      <c r="R221" s="28" t="s">
        <v>55</v>
      </c>
      <c r="S221" s="48">
        <f t="shared" si="102"/>
        <v>266000</v>
      </c>
      <c r="T221" s="48">
        <f t="shared" si="123"/>
        <v>0</v>
      </c>
      <c r="W221" s="28">
        <v>223</v>
      </c>
      <c r="X221" s="105">
        <v>1.42</v>
      </c>
      <c r="Y221" s="105">
        <v>9.4700000000000006</v>
      </c>
      <c r="Z221" s="73" t="s">
        <v>465</v>
      </c>
      <c r="AA221" s="28">
        <v>1900</v>
      </c>
    </row>
    <row r="222" spans="1:27" x14ac:dyDescent="0.25">
      <c r="A222" s="4"/>
      <c r="B222" s="98" t="s">
        <v>1079</v>
      </c>
      <c r="C222" s="75" t="s">
        <v>1008</v>
      </c>
      <c r="D222" s="28" t="s">
        <v>1007</v>
      </c>
      <c r="E222" s="28">
        <f t="shared" si="140"/>
        <v>92145</v>
      </c>
      <c r="F222" s="143" t="str">
        <f>INDEX(PV_Summary!$B$18:$B$118,MATCH($E222,PV_Summary!$A$18:$A$118,0))</f>
        <v>N</v>
      </c>
      <c r="G222" s="123">
        <v>32.888646999999999</v>
      </c>
      <c r="H222" s="61">
        <v>-117.129651</v>
      </c>
      <c r="I222" s="44" t="s">
        <v>3</v>
      </c>
      <c r="J222" s="46">
        <f t="shared" ref="J222:J224" si="149">IF(O222&gt;1,Sym_Scl_Aggr_Parent,IF(O222&lt;1,Sym_Scl_Aggr_Child,Sym_Scl_Normal))</f>
        <v>0.75</v>
      </c>
      <c r="K222" s="100"/>
      <c r="L222" s="44" t="str">
        <f t="shared" ref="L222:L224" si="150">IF(O222&gt;1,"Total","")</f>
        <v/>
      </c>
      <c r="M222" s="46">
        <f t="shared" ref="M222:M224" si="151">IF(O222&gt;1,Label_Scl_Aggr_Parent,IF(O222&lt;1,Label_Scl_Aggr_Child,Label_Scl_Normal))</f>
        <v>0.75</v>
      </c>
      <c r="N222" s="46"/>
      <c r="O222" s="41">
        <f t="shared" si="144"/>
        <v>0</v>
      </c>
      <c r="P222" s="42">
        <v>20000</v>
      </c>
      <c r="Q222" s="44" t="s">
        <v>3</v>
      </c>
      <c r="R222" s="28" t="s">
        <v>55</v>
      </c>
      <c r="S222" s="48">
        <f t="shared" si="102"/>
        <v>140000</v>
      </c>
      <c r="T222" s="48">
        <f t="shared" si="123"/>
        <v>0</v>
      </c>
      <c r="W222" s="28">
        <v>223</v>
      </c>
      <c r="X222" s="105">
        <v>1.42</v>
      </c>
      <c r="Y222" s="105">
        <v>9.4700000000000006</v>
      </c>
      <c r="Z222" s="73" t="s">
        <v>465</v>
      </c>
      <c r="AA222" s="28">
        <v>1800</v>
      </c>
    </row>
    <row r="223" spans="1:27" x14ac:dyDescent="0.25">
      <c r="A223" s="4"/>
      <c r="B223" s="98" t="s">
        <v>1080</v>
      </c>
      <c r="C223" s="75" t="s">
        <v>1008</v>
      </c>
      <c r="D223" s="28" t="s">
        <v>1007</v>
      </c>
      <c r="E223" s="28">
        <f t="shared" ref="E223:E224" si="152">RIGHT(TRIM(D223),5)*1</f>
        <v>92145</v>
      </c>
      <c r="F223" s="143" t="str">
        <f>INDEX(PV_Summary!$B$18:$B$118,MATCH($E223,PV_Summary!$A$18:$A$118,0))</f>
        <v>N</v>
      </c>
      <c r="G223" s="123">
        <v>32.888007999999999</v>
      </c>
      <c r="H223" s="61">
        <v>-117.12794</v>
      </c>
      <c r="I223" s="44" t="s">
        <v>3</v>
      </c>
      <c r="J223" s="46">
        <f t="shared" si="149"/>
        <v>0.75</v>
      </c>
      <c r="K223" s="100"/>
      <c r="L223" s="44" t="str">
        <f t="shared" si="150"/>
        <v/>
      </c>
      <c r="M223" s="46">
        <f t="shared" si="151"/>
        <v>0.75</v>
      </c>
      <c r="N223" s="46"/>
      <c r="O223" s="41">
        <f t="shared" si="144"/>
        <v>0</v>
      </c>
      <c r="P223" s="42">
        <v>45000</v>
      </c>
      <c r="Q223" s="44" t="s">
        <v>3</v>
      </c>
      <c r="R223" s="28" t="s">
        <v>55</v>
      </c>
      <c r="S223" s="48">
        <f t="shared" si="102"/>
        <v>315000</v>
      </c>
      <c r="T223" s="48">
        <f t="shared" si="123"/>
        <v>0</v>
      </c>
      <c r="W223" s="28">
        <v>223</v>
      </c>
      <c r="X223" s="105">
        <v>1.42</v>
      </c>
      <c r="Y223" s="105">
        <v>9.4700000000000006</v>
      </c>
      <c r="Z223" s="73" t="s">
        <v>465</v>
      </c>
      <c r="AA223" s="28">
        <v>1700</v>
      </c>
    </row>
    <row r="224" spans="1:27" x14ac:dyDescent="0.25">
      <c r="A224" s="4"/>
      <c r="B224" s="98" t="s">
        <v>1081</v>
      </c>
      <c r="C224" s="75" t="s">
        <v>1008</v>
      </c>
      <c r="D224" s="28" t="s">
        <v>1007</v>
      </c>
      <c r="E224" s="28">
        <f t="shared" si="152"/>
        <v>92145</v>
      </c>
      <c r="F224" s="143" t="str">
        <f>INDEX(PV_Summary!$B$18:$B$118,MATCH($E224,PV_Summary!$A$18:$A$118,0))</f>
        <v>N</v>
      </c>
      <c r="G224" s="123">
        <v>32.888012000000003</v>
      </c>
      <c r="H224" s="61">
        <v>-117.127005</v>
      </c>
      <c r="I224" s="44" t="s">
        <v>3</v>
      </c>
      <c r="J224" s="46">
        <f t="shared" si="149"/>
        <v>0.75</v>
      </c>
      <c r="K224" s="100"/>
      <c r="L224" s="44" t="str">
        <f t="shared" si="150"/>
        <v/>
      </c>
      <c r="M224" s="46">
        <f t="shared" si="151"/>
        <v>0.75</v>
      </c>
      <c r="N224" s="46"/>
      <c r="O224" s="41">
        <f t="shared" si="144"/>
        <v>0</v>
      </c>
      <c r="P224" s="42">
        <v>73000</v>
      </c>
      <c r="Q224" s="44" t="s">
        <v>3</v>
      </c>
      <c r="R224" s="28" t="s">
        <v>55</v>
      </c>
      <c r="S224" s="48">
        <f t="shared" si="102"/>
        <v>511000</v>
      </c>
      <c r="T224" s="48">
        <f t="shared" si="123"/>
        <v>0</v>
      </c>
      <c r="W224" s="28">
        <v>223</v>
      </c>
      <c r="X224" s="105">
        <v>1.42</v>
      </c>
      <c r="Y224" s="105">
        <v>9.4700000000000006</v>
      </c>
      <c r="Z224" s="73" t="s">
        <v>465</v>
      </c>
      <c r="AA224" s="28">
        <v>1900</v>
      </c>
    </row>
    <row r="225" spans="1:27" x14ac:dyDescent="0.25">
      <c r="A225" s="4"/>
      <c r="B225" s="98" t="s">
        <v>1082</v>
      </c>
      <c r="C225" s="75" t="s">
        <v>1008</v>
      </c>
      <c r="D225" s="28" t="s">
        <v>1007</v>
      </c>
      <c r="E225" s="28">
        <f t="shared" ref="E225:E237" si="153">RIGHT(TRIM(D225),5)*1</f>
        <v>92145</v>
      </c>
      <c r="F225" s="143" t="str">
        <f>INDEX(PV_Summary!$B$18:$B$118,MATCH($E225,PV_Summary!$A$18:$A$118,0))</f>
        <v>N</v>
      </c>
      <c r="G225" s="123">
        <v>32.888041000000001</v>
      </c>
      <c r="H225" s="61">
        <v>-117.125516</v>
      </c>
      <c r="I225" s="44" t="s">
        <v>3</v>
      </c>
      <c r="J225" s="46">
        <f t="shared" ref="J225:J229" si="154">IF(O225&gt;1,Sym_Scl_Aggr_Parent,IF(O225&lt;1,Sym_Scl_Aggr_Child,Sym_Scl_Normal))</f>
        <v>0.75</v>
      </c>
      <c r="K225" s="100"/>
      <c r="L225" s="44" t="str">
        <f t="shared" ref="L225:L229" si="155">IF(O225&gt;1,"Total","")</f>
        <v/>
      </c>
      <c r="M225" s="46">
        <f t="shared" ref="M225:M229" si="156">IF(O225&gt;1,Label_Scl_Aggr_Parent,IF(O225&lt;1,Label_Scl_Aggr_Child,Label_Scl_Normal))</f>
        <v>0.75</v>
      </c>
      <c r="N225" s="46"/>
      <c r="O225" s="41">
        <f t="shared" si="144"/>
        <v>0</v>
      </c>
      <c r="P225" s="42">
        <v>33000</v>
      </c>
      <c r="Q225" s="44" t="s">
        <v>3</v>
      </c>
      <c r="R225" s="28" t="s">
        <v>55</v>
      </c>
      <c r="S225" s="48">
        <f t="shared" si="102"/>
        <v>231000</v>
      </c>
      <c r="T225" s="48">
        <f t="shared" si="123"/>
        <v>0</v>
      </c>
      <c r="W225" s="28">
        <v>223</v>
      </c>
      <c r="X225" s="105">
        <v>1.42</v>
      </c>
      <c r="Y225" s="105">
        <v>9.4700000000000006</v>
      </c>
      <c r="Z225" s="73" t="s">
        <v>465</v>
      </c>
      <c r="AA225" s="28">
        <v>1900</v>
      </c>
    </row>
    <row r="226" spans="1:27" x14ac:dyDescent="0.25">
      <c r="A226" s="4"/>
      <c r="B226" s="98" t="s">
        <v>1083</v>
      </c>
      <c r="C226" s="75" t="s">
        <v>1008</v>
      </c>
      <c r="D226" s="28" t="s">
        <v>1007</v>
      </c>
      <c r="E226" s="28">
        <f t="shared" si="153"/>
        <v>92145</v>
      </c>
      <c r="F226" s="143" t="str">
        <f>INDEX(PV_Summary!$B$18:$B$118,MATCH($E226,PV_Summary!$A$18:$A$118,0))</f>
        <v>N</v>
      </c>
      <c r="G226" s="123">
        <v>32.888812000000001</v>
      </c>
      <c r="H226" s="61">
        <v>-117.12339799999999</v>
      </c>
      <c r="I226" s="44" t="s">
        <v>3</v>
      </c>
      <c r="J226" s="46">
        <f t="shared" si="154"/>
        <v>0.75</v>
      </c>
      <c r="K226" s="100"/>
      <c r="L226" s="44" t="str">
        <f t="shared" si="155"/>
        <v/>
      </c>
      <c r="M226" s="46">
        <f t="shared" si="156"/>
        <v>0.75</v>
      </c>
      <c r="N226" s="46"/>
      <c r="O226" s="41">
        <f t="shared" si="144"/>
        <v>0</v>
      </c>
      <c r="P226" s="42">
        <v>35000</v>
      </c>
      <c r="Q226" s="44" t="s">
        <v>3</v>
      </c>
      <c r="R226" s="28" t="s">
        <v>55</v>
      </c>
      <c r="S226" s="48">
        <f t="shared" si="102"/>
        <v>245000</v>
      </c>
      <c r="T226" s="48">
        <f t="shared" si="123"/>
        <v>0</v>
      </c>
      <c r="W226" s="28">
        <v>223</v>
      </c>
      <c r="X226" s="105">
        <v>1.42</v>
      </c>
      <c r="Y226" s="105">
        <v>9.4700000000000006</v>
      </c>
      <c r="Z226" s="73" t="s">
        <v>465</v>
      </c>
      <c r="AA226" s="28">
        <v>2100</v>
      </c>
    </row>
    <row r="227" spans="1:27" x14ac:dyDescent="0.25">
      <c r="A227" s="4"/>
      <c r="B227" s="98" t="s">
        <v>1084</v>
      </c>
      <c r="C227" s="75" t="s">
        <v>1008</v>
      </c>
      <c r="D227" s="28" t="s">
        <v>1007</v>
      </c>
      <c r="E227" s="28">
        <f t="shared" si="153"/>
        <v>92145</v>
      </c>
      <c r="F227" s="143" t="str">
        <f>INDEX(PV_Summary!$B$18:$B$118,MATCH($E227,PV_Summary!$A$18:$A$118,0))</f>
        <v>N</v>
      </c>
      <c r="G227" s="123">
        <v>32.889392999999998</v>
      </c>
      <c r="H227" s="61">
        <v>-117.122113</v>
      </c>
      <c r="I227" s="44" t="s">
        <v>3</v>
      </c>
      <c r="J227" s="46">
        <f t="shared" si="154"/>
        <v>0.75</v>
      </c>
      <c r="K227" s="100"/>
      <c r="L227" s="44" t="str">
        <f t="shared" si="155"/>
        <v/>
      </c>
      <c r="M227" s="46">
        <f t="shared" si="156"/>
        <v>0.75</v>
      </c>
      <c r="N227" s="46"/>
      <c r="O227" s="41">
        <f t="shared" si="144"/>
        <v>0</v>
      </c>
      <c r="P227" s="42">
        <v>9000</v>
      </c>
      <c r="Q227" s="44" t="s">
        <v>3</v>
      </c>
      <c r="R227" s="28" t="s">
        <v>55</v>
      </c>
      <c r="S227" s="48">
        <f t="shared" si="102"/>
        <v>63000</v>
      </c>
      <c r="T227" s="48">
        <f t="shared" si="123"/>
        <v>0</v>
      </c>
      <c r="W227" s="28">
        <v>223</v>
      </c>
      <c r="X227" s="105">
        <v>1.42</v>
      </c>
      <c r="Y227" s="105">
        <v>9.4700000000000006</v>
      </c>
      <c r="Z227" s="73" t="s">
        <v>465</v>
      </c>
      <c r="AA227" s="28">
        <v>1600</v>
      </c>
    </row>
    <row r="228" spans="1:27" x14ac:dyDescent="0.25">
      <c r="A228" s="4"/>
      <c r="B228" s="98" t="s">
        <v>1085</v>
      </c>
      <c r="C228" s="75" t="s">
        <v>1008</v>
      </c>
      <c r="D228" s="28" t="s">
        <v>1007</v>
      </c>
      <c r="E228" s="28">
        <f t="shared" si="153"/>
        <v>92145</v>
      </c>
      <c r="F228" s="143" t="str">
        <f>INDEX(PV_Summary!$B$18:$B$118,MATCH($E228,PV_Summary!$A$18:$A$118,0))</f>
        <v>N</v>
      </c>
      <c r="G228" s="123">
        <v>32.887715999999998</v>
      </c>
      <c r="H228" s="61">
        <v>-117.122151</v>
      </c>
      <c r="I228" s="44" t="s">
        <v>3</v>
      </c>
      <c r="J228" s="46">
        <f t="shared" si="154"/>
        <v>0.75</v>
      </c>
      <c r="K228" s="100"/>
      <c r="L228" s="44" t="str">
        <f t="shared" si="155"/>
        <v/>
      </c>
      <c r="M228" s="46">
        <f t="shared" si="156"/>
        <v>0.75</v>
      </c>
      <c r="N228" s="46"/>
      <c r="O228" s="41">
        <f t="shared" si="144"/>
        <v>0</v>
      </c>
      <c r="P228" s="42">
        <v>7800</v>
      </c>
      <c r="Q228" s="44" t="s">
        <v>3</v>
      </c>
      <c r="R228" s="28" t="s">
        <v>55</v>
      </c>
      <c r="S228" s="48">
        <f t="shared" si="102"/>
        <v>54600</v>
      </c>
      <c r="T228" s="48">
        <f t="shared" si="123"/>
        <v>0</v>
      </c>
      <c r="W228" s="28">
        <v>223</v>
      </c>
      <c r="X228" s="105">
        <v>1.42</v>
      </c>
      <c r="Y228" s="105">
        <v>9.4700000000000006</v>
      </c>
      <c r="Z228" s="73" t="s">
        <v>465</v>
      </c>
      <c r="AA228" s="28">
        <v>900</v>
      </c>
    </row>
    <row r="229" spans="1:27" x14ac:dyDescent="0.25">
      <c r="A229" s="4"/>
      <c r="B229" s="98" t="s">
        <v>1086</v>
      </c>
      <c r="C229" s="75" t="s">
        <v>1008</v>
      </c>
      <c r="D229" s="28" t="s">
        <v>1007</v>
      </c>
      <c r="E229" s="28">
        <f t="shared" si="153"/>
        <v>92145</v>
      </c>
      <c r="F229" s="143" t="str">
        <f>INDEX(PV_Summary!$B$18:$B$118,MATCH($E229,PV_Summary!$A$18:$A$118,0))</f>
        <v>N</v>
      </c>
      <c r="G229" s="123">
        <v>32.889208000000004</v>
      </c>
      <c r="H229" s="61">
        <v>-117.119962</v>
      </c>
      <c r="I229" s="44" t="s">
        <v>3</v>
      </c>
      <c r="J229" s="46">
        <f t="shared" si="154"/>
        <v>0.75</v>
      </c>
      <c r="K229" s="100"/>
      <c r="L229" s="44" t="str">
        <f t="shared" si="155"/>
        <v/>
      </c>
      <c r="M229" s="46">
        <f t="shared" si="156"/>
        <v>0.75</v>
      </c>
      <c r="N229" s="46"/>
      <c r="O229" s="41">
        <f t="shared" si="144"/>
        <v>0</v>
      </c>
      <c r="P229" s="42">
        <v>60000</v>
      </c>
      <c r="Q229" s="44" t="s">
        <v>3</v>
      </c>
      <c r="R229" s="28" t="s">
        <v>55</v>
      </c>
      <c r="S229" s="48">
        <f t="shared" si="102"/>
        <v>420000</v>
      </c>
      <c r="T229" s="48">
        <f t="shared" si="123"/>
        <v>0</v>
      </c>
      <c r="W229" s="28">
        <v>223</v>
      </c>
      <c r="X229" s="105">
        <v>1.42</v>
      </c>
      <c r="Y229" s="105">
        <v>9.4700000000000006</v>
      </c>
      <c r="Z229" s="73" t="s">
        <v>465</v>
      </c>
      <c r="AA229" s="28">
        <v>1100</v>
      </c>
    </row>
    <row r="230" spans="1:27" x14ac:dyDescent="0.25">
      <c r="A230" s="4"/>
      <c r="B230" s="98" t="s">
        <v>1103</v>
      </c>
      <c r="C230" s="75" t="s">
        <v>1008</v>
      </c>
      <c r="D230" s="28" t="s">
        <v>1007</v>
      </c>
      <c r="E230" s="28">
        <f t="shared" si="153"/>
        <v>92145</v>
      </c>
      <c r="F230" s="143" t="str">
        <f>INDEX(PV_Summary!$B$18:$B$118,MATCH($E230,PV_Summary!$A$18:$A$118,0))</f>
        <v>N</v>
      </c>
      <c r="G230" s="123">
        <v>32.891103999999999</v>
      </c>
      <c r="H230" s="61">
        <v>-117.138338</v>
      </c>
      <c r="I230" s="44" t="s">
        <v>3</v>
      </c>
      <c r="J230" s="46">
        <f t="shared" ref="J230:J231" si="157">IF(O230&gt;1,Sym_Scl_Aggr_Parent,IF(O230&lt;1,Sym_Scl_Aggr_Child,Sym_Scl_Normal))</f>
        <v>0.75</v>
      </c>
      <c r="K230" s="100"/>
      <c r="L230" s="44" t="str">
        <f t="shared" ref="L230:L231" si="158">IF(O230&gt;1,"Total","")</f>
        <v/>
      </c>
      <c r="M230" s="46">
        <f t="shared" ref="M230:M231" si="159">IF(O230&gt;1,Label_Scl_Aggr_Parent,IF(O230&lt;1,Label_Scl_Aggr_Child,Label_Scl_Normal))</f>
        <v>0.75</v>
      </c>
      <c r="N230" s="46"/>
      <c r="O230" s="41">
        <f t="shared" si="144"/>
        <v>0</v>
      </c>
      <c r="P230" s="42">
        <v>25000</v>
      </c>
      <c r="Q230" s="44" t="s">
        <v>3</v>
      </c>
      <c r="R230" s="28" t="s">
        <v>55</v>
      </c>
      <c r="S230" s="48">
        <f t="shared" si="102"/>
        <v>175000</v>
      </c>
      <c r="T230" s="48">
        <f t="shared" si="123"/>
        <v>0</v>
      </c>
      <c r="W230" s="28">
        <v>223</v>
      </c>
      <c r="X230" s="105">
        <v>1.42</v>
      </c>
      <c r="Y230" s="105">
        <v>9.4700000000000006</v>
      </c>
      <c r="Z230" s="73" t="s">
        <v>465</v>
      </c>
      <c r="AA230" s="28">
        <v>2600</v>
      </c>
    </row>
    <row r="231" spans="1:27" x14ac:dyDescent="0.25">
      <c r="A231" s="4"/>
      <c r="B231" s="98" t="s">
        <v>1131</v>
      </c>
      <c r="C231" s="75" t="s">
        <v>1008</v>
      </c>
      <c r="D231" s="28" t="s">
        <v>1007</v>
      </c>
      <c r="E231" s="28">
        <f t="shared" si="153"/>
        <v>92145</v>
      </c>
      <c r="F231" s="143" t="str">
        <f>INDEX(PV_Summary!$B$18:$B$118,MATCH($E231,PV_Summary!$A$18:$A$118,0))</f>
        <v>N</v>
      </c>
      <c r="G231" s="123">
        <v>32.891845000000004</v>
      </c>
      <c r="H231" s="61">
        <v>-117.136742</v>
      </c>
      <c r="I231" s="44" t="s">
        <v>3</v>
      </c>
      <c r="J231" s="46">
        <f t="shared" si="157"/>
        <v>0.75</v>
      </c>
      <c r="K231" s="100"/>
      <c r="L231" s="44" t="str">
        <f t="shared" si="158"/>
        <v/>
      </c>
      <c r="M231" s="46">
        <f t="shared" si="159"/>
        <v>0.75</v>
      </c>
      <c r="N231" s="46"/>
      <c r="O231" s="41">
        <f t="shared" si="144"/>
        <v>0</v>
      </c>
      <c r="P231" s="42">
        <v>262000</v>
      </c>
      <c r="Q231" s="44" t="s">
        <v>3</v>
      </c>
      <c r="R231" s="28" t="s">
        <v>55</v>
      </c>
      <c r="S231" s="48">
        <f t="shared" si="102"/>
        <v>1834000</v>
      </c>
      <c r="T231" s="48">
        <f t="shared" si="123"/>
        <v>0</v>
      </c>
      <c r="U231" s="28" t="s">
        <v>1087</v>
      </c>
      <c r="W231" s="28">
        <v>223</v>
      </c>
      <c r="X231" s="105">
        <v>1.42</v>
      </c>
      <c r="Y231" s="105">
        <v>9.4700000000000006</v>
      </c>
      <c r="Z231" s="73" t="s">
        <v>465</v>
      </c>
      <c r="AA231" s="28">
        <v>2950</v>
      </c>
    </row>
    <row r="232" spans="1:27" x14ac:dyDescent="0.25">
      <c r="A232" s="4"/>
      <c r="B232" s="98" t="s">
        <v>1125</v>
      </c>
      <c r="C232" s="75" t="s">
        <v>1008</v>
      </c>
      <c r="D232" s="28" t="s">
        <v>1007</v>
      </c>
      <c r="E232" s="28">
        <f t="shared" si="153"/>
        <v>92145</v>
      </c>
      <c r="F232" s="143" t="str">
        <f>INDEX(PV_Summary!$B$18:$B$118,MATCH($E232,PV_Summary!$A$18:$A$118,0))</f>
        <v>N</v>
      </c>
      <c r="G232" s="123">
        <v>32.891635999999998</v>
      </c>
      <c r="H232" s="61">
        <v>-117.124548</v>
      </c>
      <c r="I232" s="44" t="s">
        <v>3</v>
      </c>
      <c r="J232" s="46">
        <f t="shared" ref="J232:J233" si="160">IF(O232&gt;1,Sym_Scl_Aggr_Parent,IF(O232&lt;1,Sym_Scl_Aggr_Child,Sym_Scl_Normal))</f>
        <v>0.75</v>
      </c>
      <c r="K232" s="100"/>
      <c r="L232" s="44" t="str">
        <f t="shared" ref="L232:L233" si="161">IF(O232&gt;1,"Total","")</f>
        <v/>
      </c>
      <c r="M232" s="46">
        <f t="shared" ref="M232:M233" si="162">IF(O232&gt;1,Label_Scl_Aggr_Parent,IF(O232&lt;1,Label_Scl_Aggr_Child,Label_Scl_Normal))</f>
        <v>0.75</v>
      </c>
      <c r="N232" s="46"/>
      <c r="O232" s="41">
        <f t="shared" si="144"/>
        <v>0</v>
      </c>
      <c r="P232" s="42">
        <v>447000</v>
      </c>
      <c r="Q232" s="44" t="s">
        <v>3</v>
      </c>
      <c r="R232" s="28" t="s">
        <v>55</v>
      </c>
      <c r="S232" s="48">
        <f t="shared" si="102"/>
        <v>3129000</v>
      </c>
      <c r="T232" s="48">
        <f t="shared" si="123"/>
        <v>0</v>
      </c>
      <c r="W232" s="28">
        <v>223</v>
      </c>
      <c r="X232" s="105">
        <v>1.42</v>
      </c>
      <c r="Y232" s="105">
        <v>9.4700000000000006</v>
      </c>
      <c r="Z232" s="73" t="s">
        <v>465</v>
      </c>
      <c r="AA232" s="28">
        <v>600</v>
      </c>
    </row>
    <row r="233" spans="1:27" x14ac:dyDescent="0.25">
      <c r="A233" s="4"/>
      <c r="B233" s="98" t="s">
        <v>1100</v>
      </c>
      <c r="C233" s="75" t="s">
        <v>1008</v>
      </c>
      <c r="D233" s="28" t="s">
        <v>1007</v>
      </c>
      <c r="E233" s="28">
        <f t="shared" si="153"/>
        <v>92145</v>
      </c>
      <c r="F233" s="143" t="str">
        <f>INDEX(PV_Summary!$B$18:$B$118,MATCH($E233,PV_Summary!$A$18:$A$118,0))</f>
        <v>N</v>
      </c>
      <c r="G233" s="123">
        <v>32.879778000000002</v>
      </c>
      <c r="H233" s="61">
        <v>-117.152325</v>
      </c>
      <c r="I233" s="44" t="s">
        <v>37</v>
      </c>
      <c r="J233" s="46">
        <f t="shared" si="160"/>
        <v>0.75</v>
      </c>
      <c r="K233" s="100"/>
      <c r="L233" s="44" t="str">
        <f t="shared" si="161"/>
        <v/>
      </c>
      <c r="M233" s="46">
        <f t="shared" si="162"/>
        <v>0.75</v>
      </c>
      <c r="N233" s="46"/>
      <c r="O233" s="41">
        <f t="shared" si="144"/>
        <v>0</v>
      </c>
      <c r="P233" s="42">
        <f>16000+N("E rectangle")+11*4000+N("triangles")+6600+5000+24000+22000+N("W bldg")</f>
        <v>117600</v>
      </c>
      <c r="Q233" s="44" t="s">
        <v>37</v>
      </c>
      <c r="R233" s="28" t="s">
        <v>56</v>
      </c>
      <c r="S233" s="48">
        <f t="shared" si="102"/>
        <v>705600</v>
      </c>
      <c r="T233" s="48">
        <f t="shared" si="123"/>
        <v>0</v>
      </c>
      <c r="W233" s="28">
        <v>223</v>
      </c>
      <c r="X233" s="105">
        <v>1.42</v>
      </c>
      <c r="Y233" s="105">
        <v>9.4700000000000006</v>
      </c>
      <c r="Z233" s="73" t="s">
        <v>465</v>
      </c>
      <c r="AA233" s="28">
        <v>300</v>
      </c>
    </row>
    <row r="234" spans="1:27" x14ac:dyDescent="0.25">
      <c r="A234" s="4"/>
      <c r="B234" s="98" t="s">
        <v>1106</v>
      </c>
      <c r="C234" s="75" t="s">
        <v>1008</v>
      </c>
      <c r="D234" s="28" t="s">
        <v>1007</v>
      </c>
      <c r="E234" s="28">
        <f t="shared" ref="E234" si="163">RIGHT(TRIM(D234),5)*1</f>
        <v>92145</v>
      </c>
      <c r="F234" s="143" t="str">
        <f>INDEX(PV_Summary!$B$18:$B$118,MATCH($E234,PV_Summary!$A$18:$A$118,0))</f>
        <v>N</v>
      </c>
      <c r="G234" s="123">
        <v>32.875870999999997</v>
      </c>
      <c r="H234" s="61">
        <v>-117.148008</v>
      </c>
      <c r="I234" s="44" t="s">
        <v>37</v>
      </c>
      <c r="J234" s="46">
        <f t="shared" ref="J234:J237" si="164">IF(O234&gt;1,Sym_Scl_Aggr_Parent,IF(O234&lt;1,Sym_Scl_Aggr_Child,Sym_Scl_Normal))</f>
        <v>0.75</v>
      </c>
      <c r="K234" s="100"/>
      <c r="L234" s="44" t="str">
        <f t="shared" ref="L234:L237" si="165">IF(O234&gt;1,"Total","")</f>
        <v/>
      </c>
      <c r="M234" s="46">
        <f t="shared" ref="M234:M237" si="166">IF(O234&gt;1,Label_Scl_Aggr_Parent,IF(O234&lt;1,Label_Scl_Aggr_Child,Label_Scl_Normal))</f>
        <v>0.75</v>
      </c>
      <c r="N234" s="46"/>
      <c r="O234" s="41">
        <f t="shared" si="144"/>
        <v>0</v>
      </c>
      <c r="P234" s="42">
        <v>39000</v>
      </c>
      <c r="Q234" s="44" t="s">
        <v>37</v>
      </c>
      <c r="R234" s="28" t="s">
        <v>55</v>
      </c>
      <c r="S234" s="48">
        <f t="shared" si="102"/>
        <v>273000</v>
      </c>
      <c r="T234" s="48">
        <f t="shared" si="123"/>
        <v>0</v>
      </c>
      <c r="W234" s="28">
        <v>223</v>
      </c>
      <c r="X234" s="105">
        <v>1.42</v>
      </c>
      <c r="Y234" s="105">
        <v>9.4700000000000006</v>
      </c>
      <c r="Z234" s="73" t="s">
        <v>465</v>
      </c>
      <c r="AA234" s="28">
        <v>1900</v>
      </c>
    </row>
    <row r="235" spans="1:27" x14ac:dyDescent="0.25">
      <c r="A235" s="4"/>
      <c r="B235" s="98" t="s">
        <v>1107</v>
      </c>
      <c r="C235" s="75" t="s">
        <v>1008</v>
      </c>
      <c r="D235" s="28" t="s">
        <v>1007</v>
      </c>
      <c r="E235" s="28">
        <f t="shared" ref="E235" si="167">RIGHT(TRIM(D235),5)*1</f>
        <v>92145</v>
      </c>
      <c r="F235" s="143" t="str">
        <f>INDEX(PV_Summary!$B$18:$B$118,MATCH($E235,PV_Summary!$A$18:$A$118,0))</f>
        <v>N</v>
      </c>
      <c r="G235" s="123">
        <v>32.877124999999999</v>
      </c>
      <c r="H235" s="61">
        <v>-117.143113</v>
      </c>
      <c r="I235" s="44" t="s">
        <v>37</v>
      </c>
      <c r="J235" s="46">
        <f t="shared" si="164"/>
        <v>0.75</v>
      </c>
      <c r="K235" s="100"/>
      <c r="L235" s="44" t="str">
        <f t="shared" si="165"/>
        <v/>
      </c>
      <c r="M235" s="46">
        <f t="shared" si="166"/>
        <v>0.75</v>
      </c>
      <c r="N235" s="46"/>
      <c r="O235" s="41">
        <f t="shared" si="144"/>
        <v>0</v>
      </c>
      <c r="P235" s="42">
        <v>24000</v>
      </c>
      <c r="Q235" s="44" t="s">
        <v>37</v>
      </c>
      <c r="R235" s="28" t="s">
        <v>55</v>
      </c>
      <c r="S235" s="48">
        <f t="shared" si="102"/>
        <v>168000</v>
      </c>
      <c r="T235" s="48">
        <f t="shared" si="123"/>
        <v>0</v>
      </c>
      <c r="W235" s="28">
        <v>223</v>
      </c>
      <c r="X235" s="105">
        <v>1.42</v>
      </c>
      <c r="Y235" s="105">
        <v>9.4700000000000006</v>
      </c>
      <c r="Z235" s="73" t="s">
        <v>465</v>
      </c>
      <c r="AA235" s="28">
        <v>1800</v>
      </c>
    </row>
    <row r="236" spans="1:27" x14ac:dyDescent="0.25">
      <c r="A236" s="4"/>
      <c r="B236" s="98" t="s">
        <v>1101</v>
      </c>
      <c r="C236" s="75" t="s">
        <v>1008</v>
      </c>
      <c r="D236" s="28" t="s">
        <v>1007</v>
      </c>
      <c r="E236" s="28">
        <f t="shared" si="153"/>
        <v>92145</v>
      </c>
      <c r="F236" s="143" t="str">
        <f>INDEX(PV_Summary!$B$18:$B$118,MATCH($E236,PV_Summary!$A$18:$A$118,0))</f>
        <v>N</v>
      </c>
      <c r="G236" s="123">
        <v>32.877445899999998</v>
      </c>
      <c r="H236" s="61">
        <v>-117.1416941</v>
      </c>
      <c r="I236" s="44" t="s">
        <v>37</v>
      </c>
      <c r="J236" s="46">
        <f t="shared" si="164"/>
        <v>0.75</v>
      </c>
      <c r="K236" s="100"/>
      <c r="L236" s="44" t="str">
        <f t="shared" si="165"/>
        <v/>
      </c>
      <c r="M236" s="46">
        <f t="shared" si="166"/>
        <v>0.75</v>
      </c>
      <c r="N236" s="46"/>
      <c r="O236" s="41">
        <f t="shared" si="144"/>
        <v>0</v>
      </c>
      <c r="P236" s="42">
        <v>33000</v>
      </c>
      <c r="Q236" s="44" t="s">
        <v>37</v>
      </c>
      <c r="R236" s="28" t="s">
        <v>55</v>
      </c>
      <c r="S236" s="48">
        <f t="shared" si="102"/>
        <v>231000</v>
      </c>
      <c r="T236" s="48">
        <f t="shared" si="123"/>
        <v>0</v>
      </c>
      <c r="W236" s="28">
        <v>223</v>
      </c>
      <c r="X236" s="105">
        <v>1.42</v>
      </c>
      <c r="Y236" s="105">
        <v>9.4700000000000006</v>
      </c>
      <c r="Z236" s="73" t="s">
        <v>465</v>
      </c>
      <c r="AA236" s="28">
        <v>1700</v>
      </c>
    </row>
    <row r="237" spans="1:27" x14ac:dyDescent="0.25">
      <c r="A237" s="4"/>
      <c r="B237" s="98" t="s">
        <v>1102</v>
      </c>
      <c r="C237" s="75" t="s">
        <v>1008</v>
      </c>
      <c r="D237" s="28" t="s">
        <v>1007</v>
      </c>
      <c r="E237" s="28">
        <f t="shared" si="153"/>
        <v>92145</v>
      </c>
      <c r="F237" s="143" t="str">
        <f>INDEX(PV_Summary!$B$18:$B$118,MATCH($E237,PV_Summary!$A$18:$A$118,0))</f>
        <v>N</v>
      </c>
      <c r="G237" s="123">
        <v>32.877913999999997</v>
      </c>
      <c r="H237" s="61">
        <v>-117.140106</v>
      </c>
      <c r="I237" s="44" t="s">
        <v>37</v>
      </c>
      <c r="J237" s="46">
        <f t="shared" si="164"/>
        <v>0.75</v>
      </c>
      <c r="K237" s="100"/>
      <c r="L237" s="44" t="str">
        <f t="shared" si="165"/>
        <v/>
      </c>
      <c r="M237" s="46">
        <f t="shared" si="166"/>
        <v>0.75</v>
      </c>
      <c r="N237" s="46"/>
      <c r="O237" s="41">
        <f t="shared" si="144"/>
        <v>0</v>
      </c>
      <c r="P237" s="42">
        <v>25000</v>
      </c>
      <c r="Q237" s="44" t="s">
        <v>37</v>
      </c>
      <c r="R237" s="28" t="s">
        <v>55</v>
      </c>
      <c r="S237" s="48">
        <f t="shared" si="102"/>
        <v>175000</v>
      </c>
      <c r="T237" s="48">
        <f t="shared" si="123"/>
        <v>0</v>
      </c>
      <c r="W237" s="28">
        <v>223</v>
      </c>
      <c r="X237" s="105">
        <v>1.42</v>
      </c>
      <c r="Y237" s="105">
        <v>9.4700000000000006</v>
      </c>
      <c r="Z237" s="73" t="s">
        <v>465</v>
      </c>
      <c r="AA237" s="28">
        <v>1600</v>
      </c>
    </row>
    <row r="238" spans="1:27" x14ac:dyDescent="0.25">
      <c r="A238" s="4"/>
      <c r="B238" s="98" t="s">
        <v>1108</v>
      </c>
      <c r="C238" s="75" t="s">
        <v>1008</v>
      </c>
      <c r="D238" s="28" t="s">
        <v>1007</v>
      </c>
      <c r="E238" s="28">
        <f t="shared" ref="E238" si="168">RIGHT(TRIM(D238),5)*1</f>
        <v>92145</v>
      </c>
      <c r="F238" s="143" t="str">
        <f>INDEX(PV_Summary!$B$18:$B$118,MATCH($E238,PV_Summary!$A$18:$A$118,0))</f>
        <v>N</v>
      </c>
      <c r="G238" s="123">
        <v>32.875937</v>
      </c>
      <c r="H238" s="61">
        <v>-117.141077</v>
      </c>
      <c r="I238" s="44" t="s">
        <v>210</v>
      </c>
      <c r="J238" s="46">
        <f t="shared" ref="J238" si="169">IF(O238&gt;1,Sym_Scl_Aggr_Parent,IF(O238&lt;1,Sym_Scl_Aggr_Child,Sym_Scl_Normal))</f>
        <v>0.75</v>
      </c>
      <c r="K238" s="100" t="s">
        <v>157</v>
      </c>
      <c r="L238" s="44" t="str">
        <f t="shared" ref="L238" si="170">IF(O238&gt;1,"Total","")</f>
        <v/>
      </c>
      <c r="M238" s="46">
        <f t="shared" ref="M238" si="171">IF(O238&gt;1,Label_Scl_Aggr_Parent,IF(O238&lt;1,Label_Scl_Aggr_Child,Label_Scl_Normal))</f>
        <v>0.75</v>
      </c>
      <c r="N238" s="46"/>
      <c r="O238" s="41">
        <f t="shared" si="144"/>
        <v>0</v>
      </c>
      <c r="Q238" s="44" t="s">
        <v>172</v>
      </c>
      <c r="S238" s="48">
        <f t="shared" si="102"/>
        <v>0</v>
      </c>
      <c r="T238" s="48">
        <f t="shared" si="123"/>
        <v>0</v>
      </c>
      <c r="W238" s="28">
        <v>223</v>
      </c>
      <c r="X238" s="105">
        <v>1.42</v>
      </c>
      <c r="Y238" s="105">
        <v>9.4700000000000006</v>
      </c>
      <c r="Z238" s="73" t="s">
        <v>465</v>
      </c>
      <c r="AA238" s="28">
        <v>1500</v>
      </c>
    </row>
    <row r="239" spans="1:27" x14ac:dyDescent="0.25">
      <c r="A239" s="4"/>
      <c r="B239" s="98" t="s">
        <v>1109</v>
      </c>
      <c r="C239" s="75" t="s">
        <v>1008</v>
      </c>
      <c r="D239" s="28" t="s">
        <v>1007</v>
      </c>
      <c r="E239" s="28">
        <f t="shared" ref="E239:E241" si="172">RIGHT(TRIM(D239),5)*1</f>
        <v>92145</v>
      </c>
      <c r="F239" s="143" t="str">
        <f>INDEX(PV_Summary!$B$18:$B$118,MATCH($E239,PV_Summary!$A$18:$A$118,0))</f>
        <v>N</v>
      </c>
      <c r="G239" s="123">
        <v>32.875095000000002</v>
      </c>
      <c r="H239" s="61">
        <v>-117.139256</v>
      </c>
      <c r="I239" s="44" t="s">
        <v>37</v>
      </c>
      <c r="J239" s="46">
        <f t="shared" ref="J239:J241" si="173">IF(O239&gt;1,Sym_Scl_Aggr_Parent,IF(O239&lt;1,Sym_Scl_Aggr_Child,Sym_Scl_Normal))</f>
        <v>0.75</v>
      </c>
      <c r="K239" s="100"/>
      <c r="L239" s="44" t="str">
        <f t="shared" ref="L239:L241" si="174">IF(O239&gt;1,"Total","")</f>
        <v/>
      </c>
      <c r="M239" s="46">
        <f t="shared" ref="M239:M241" si="175">IF(O239&gt;1,Label_Scl_Aggr_Parent,IF(O239&lt;1,Label_Scl_Aggr_Child,Label_Scl_Normal))</f>
        <v>0.75</v>
      </c>
      <c r="N239" s="46"/>
      <c r="O239" s="41">
        <f t="shared" si="144"/>
        <v>0</v>
      </c>
      <c r="P239" s="42">
        <v>23000</v>
      </c>
      <c r="Q239" s="44" t="s">
        <v>37</v>
      </c>
      <c r="R239" s="28" t="s">
        <v>56</v>
      </c>
      <c r="S239" s="48">
        <f t="shared" si="102"/>
        <v>138000</v>
      </c>
      <c r="T239" s="48">
        <f t="shared" si="123"/>
        <v>0</v>
      </c>
      <c r="U239" s="28" t="s">
        <v>1110</v>
      </c>
      <c r="W239" s="28">
        <v>223</v>
      </c>
      <c r="X239" s="105">
        <v>1.42</v>
      </c>
      <c r="Y239" s="105">
        <v>9.4700000000000006</v>
      </c>
      <c r="Z239" s="73" t="s">
        <v>465</v>
      </c>
      <c r="AA239" s="28">
        <v>2700</v>
      </c>
    </row>
    <row r="240" spans="1:27" x14ac:dyDescent="0.25">
      <c r="A240" s="4"/>
      <c r="B240" s="98" t="s">
        <v>1112</v>
      </c>
      <c r="C240" s="75" t="s">
        <v>1008</v>
      </c>
      <c r="D240" s="28" t="s">
        <v>1007</v>
      </c>
      <c r="E240" s="28">
        <f t="shared" si="172"/>
        <v>92145</v>
      </c>
      <c r="F240" s="143" t="str">
        <f>INDEX(PV_Summary!$B$18:$B$118,MATCH($E240,PV_Summary!$A$18:$A$118,0))</f>
        <v>N</v>
      </c>
      <c r="G240" s="123">
        <v>32.877130000000001</v>
      </c>
      <c r="H240" s="61">
        <v>-117.12936999999999</v>
      </c>
      <c r="I240" s="44" t="s">
        <v>134</v>
      </c>
      <c r="J240" s="46">
        <f t="shared" si="173"/>
        <v>0.75</v>
      </c>
      <c r="K240" s="100"/>
      <c r="L240" s="44" t="str">
        <f t="shared" si="174"/>
        <v/>
      </c>
      <c r="M240" s="46">
        <f t="shared" si="175"/>
        <v>0.75</v>
      </c>
      <c r="N240" s="46"/>
      <c r="O240" s="41">
        <f t="shared" si="144"/>
        <v>0</v>
      </c>
      <c r="P240" s="42">
        <f>19000*2</f>
        <v>38000</v>
      </c>
      <c r="Q240" s="44" t="s">
        <v>134</v>
      </c>
      <c r="R240" s="28" t="s">
        <v>56</v>
      </c>
      <c r="S240" s="48">
        <f t="shared" si="102"/>
        <v>228000</v>
      </c>
      <c r="T240" s="48">
        <f t="shared" si="123"/>
        <v>0</v>
      </c>
      <c r="U240" s="28" t="s">
        <v>1111</v>
      </c>
      <c r="W240" s="28">
        <v>223</v>
      </c>
      <c r="X240" s="105">
        <v>1.42</v>
      </c>
      <c r="Y240" s="105">
        <v>9.4700000000000006</v>
      </c>
      <c r="Z240" s="73" t="s">
        <v>465</v>
      </c>
      <c r="AA240" s="28">
        <v>2400</v>
      </c>
    </row>
    <row r="241" spans="1:27" x14ac:dyDescent="0.25">
      <c r="A241" s="4"/>
      <c r="B241" s="98" t="s">
        <v>1113</v>
      </c>
      <c r="C241" s="75" t="s">
        <v>1008</v>
      </c>
      <c r="D241" s="28" t="s">
        <v>1007</v>
      </c>
      <c r="E241" s="28">
        <f t="shared" si="172"/>
        <v>92145</v>
      </c>
      <c r="F241" s="143" t="str">
        <f>INDEX(PV_Summary!$B$18:$B$118,MATCH($E241,PV_Summary!$A$18:$A$118,0))</f>
        <v>N</v>
      </c>
      <c r="G241" s="123">
        <v>32.877879</v>
      </c>
      <c r="H241" s="61">
        <v>-117.124456</v>
      </c>
      <c r="I241" s="44" t="s">
        <v>37</v>
      </c>
      <c r="J241" s="46">
        <f t="shared" si="173"/>
        <v>0.75</v>
      </c>
      <c r="K241" s="100"/>
      <c r="L241" s="44" t="str">
        <f t="shared" si="174"/>
        <v/>
      </c>
      <c r="M241" s="46">
        <f t="shared" si="175"/>
        <v>0.75</v>
      </c>
      <c r="N241" s="46"/>
      <c r="O241" s="41">
        <f t="shared" si="144"/>
        <v>0</v>
      </c>
      <c r="P241" s="42">
        <v>29000</v>
      </c>
      <c r="Q241" s="44" t="s">
        <v>37</v>
      </c>
      <c r="R241" s="28" t="s">
        <v>55</v>
      </c>
      <c r="S241" s="48">
        <f t="shared" si="102"/>
        <v>203000</v>
      </c>
      <c r="T241" s="48">
        <f t="shared" si="123"/>
        <v>0</v>
      </c>
      <c r="W241" s="28">
        <v>223</v>
      </c>
      <c r="X241" s="105">
        <v>1.42</v>
      </c>
      <c r="Y241" s="105">
        <v>9.4700000000000006</v>
      </c>
      <c r="Z241" s="73" t="s">
        <v>465</v>
      </c>
      <c r="AA241" s="28">
        <v>2100</v>
      </c>
    </row>
    <row r="242" spans="1:27" x14ac:dyDescent="0.25">
      <c r="A242" s="4"/>
      <c r="B242" s="98" t="s">
        <v>1114</v>
      </c>
      <c r="C242" s="75" t="s">
        <v>1008</v>
      </c>
      <c r="D242" s="28" t="s">
        <v>1007</v>
      </c>
      <c r="E242" s="28">
        <f t="shared" ref="E242:E243" si="176">RIGHT(TRIM(D242),5)*1</f>
        <v>92145</v>
      </c>
      <c r="F242" s="143" t="str">
        <f>INDEX(PV_Summary!$B$18:$B$118,MATCH($E242,PV_Summary!$A$18:$A$118,0))</f>
        <v>N</v>
      </c>
      <c r="G242" s="123">
        <v>32.883322</v>
      </c>
      <c r="H242" s="61">
        <v>-117.133111</v>
      </c>
      <c r="I242" s="44" t="s">
        <v>37</v>
      </c>
      <c r="J242" s="46">
        <f t="shared" ref="J242:J243" si="177">IF(O242&gt;1,Sym_Scl_Aggr_Parent,IF(O242&lt;1,Sym_Scl_Aggr_Child,Sym_Scl_Normal))</f>
        <v>0.75</v>
      </c>
      <c r="K242" s="100"/>
      <c r="L242" s="44" t="str">
        <f t="shared" ref="L242:L243" si="178">IF(O242&gt;1,"Total","")</f>
        <v/>
      </c>
      <c r="M242" s="46">
        <f t="shared" ref="M242:M243" si="179">IF(O242&gt;1,Label_Scl_Aggr_Parent,IF(O242&lt;1,Label_Scl_Aggr_Child,Label_Scl_Normal))</f>
        <v>0.75</v>
      </c>
      <c r="N242" s="46"/>
      <c r="O242" s="41">
        <f t="shared" si="144"/>
        <v>0</v>
      </c>
      <c r="P242" s="42">
        <v>45000</v>
      </c>
      <c r="Q242" s="44" t="s">
        <v>37</v>
      </c>
      <c r="R242" s="28" t="s">
        <v>56</v>
      </c>
      <c r="S242" s="48">
        <f t="shared" si="102"/>
        <v>270000</v>
      </c>
      <c r="T242" s="48">
        <f t="shared" si="123"/>
        <v>0</v>
      </c>
      <c r="U242" s="28" t="s">
        <v>1111</v>
      </c>
      <c r="W242" s="28">
        <v>223</v>
      </c>
      <c r="X242" s="105">
        <v>1.42</v>
      </c>
      <c r="Y242" s="105">
        <v>9.4700000000000006</v>
      </c>
      <c r="Z242" s="73" t="s">
        <v>465</v>
      </c>
      <c r="AA242" s="28">
        <v>100</v>
      </c>
    </row>
    <row r="243" spans="1:27" x14ac:dyDescent="0.25">
      <c r="A243" s="4"/>
      <c r="B243" s="98" t="s">
        <v>1115</v>
      </c>
      <c r="C243" s="75" t="s">
        <v>1008</v>
      </c>
      <c r="D243" s="28" t="s">
        <v>1007</v>
      </c>
      <c r="E243" s="28">
        <f t="shared" si="176"/>
        <v>92145</v>
      </c>
      <c r="F243" s="143" t="str">
        <f>INDEX(PV_Summary!$B$18:$B$118,MATCH($E243,PV_Summary!$A$18:$A$118,0))</f>
        <v>N</v>
      </c>
      <c r="G243" s="123">
        <v>32.882916999999999</v>
      </c>
      <c r="H243" s="61">
        <v>-117.127959</v>
      </c>
      <c r="I243" s="44" t="s">
        <v>37</v>
      </c>
      <c r="J243" s="46">
        <f t="shared" si="177"/>
        <v>0.75</v>
      </c>
      <c r="K243" s="100"/>
      <c r="L243" s="44" t="str">
        <f t="shared" si="178"/>
        <v/>
      </c>
      <c r="M243" s="46">
        <f t="shared" si="179"/>
        <v>0.75</v>
      </c>
      <c r="N243" s="46"/>
      <c r="O243" s="41">
        <f t="shared" si="144"/>
        <v>0</v>
      </c>
      <c r="P243" s="42">
        <v>195000</v>
      </c>
      <c r="Q243" s="44" t="s">
        <v>37</v>
      </c>
      <c r="R243" s="28" t="s">
        <v>55</v>
      </c>
      <c r="S243" s="48">
        <f t="shared" si="102"/>
        <v>1365000</v>
      </c>
      <c r="T243" s="48">
        <f t="shared" si="123"/>
        <v>0</v>
      </c>
      <c r="W243" s="28">
        <v>223</v>
      </c>
      <c r="X243" s="105">
        <v>1.42</v>
      </c>
      <c r="Y243" s="105">
        <v>9.4700000000000006</v>
      </c>
      <c r="Z243" s="73" t="s">
        <v>465</v>
      </c>
      <c r="AA243" s="28">
        <v>250</v>
      </c>
    </row>
    <row r="244" spans="1:27" x14ac:dyDescent="0.25">
      <c r="A244" s="4"/>
      <c r="B244" s="98" t="s">
        <v>1116</v>
      </c>
      <c r="C244" s="75" t="s">
        <v>1008</v>
      </c>
      <c r="D244" s="28" t="s">
        <v>1007</v>
      </c>
      <c r="E244" s="28">
        <f t="shared" ref="E244:E246" si="180">RIGHT(TRIM(D244),5)*1</f>
        <v>92145</v>
      </c>
      <c r="F244" s="143" t="str">
        <f>INDEX(PV_Summary!$B$18:$B$118,MATCH($E244,PV_Summary!$A$18:$A$118,0))</f>
        <v>N</v>
      </c>
      <c r="G244" s="123">
        <v>32.884895999999998</v>
      </c>
      <c r="H244" s="61">
        <v>-117.134483</v>
      </c>
      <c r="I244" s="44" t="s">
        <v>37</v>
      </c>
      <c r="J244" s="46">
        <f t="shared" ref="J244:J246" si="181">IF(O244&gt;1,Sym_Scl_Aggr_Parent,IF(O244&lt;1,Sym_Scl_Aggr_Child,Sym_Scl_Normal))</f>
        <v>0.75</v>
      </c>
      <c r="K244" s="100"/>
      <c r="L244" s="44" t="str">
        <f t="shared" ref="L244:L246" si="182">IF(O244&gt;1,"Total","")</f>
        <v/>
      </c>
      <c r="M244" s="46">
        <f t="shared" ref="M244:M246" si="183">IF(O244&gt;1,Label_Scl_Aggr_Parent,IF(O244&lt;1,Label_Scl_Aggr_Child,Label_Scl_Normal))</f>
        <v>0.75</v>
      </c>
      <c r="N244" s="46"/>
      <c r="O244" s="41">
        <f t="shared" si="144"/>
        <v>0</v>
      </c>
      <c r="P244" s="42">
        <v>5800</v>
      </c>
      <c r="Q244" s="44" t="s">
        <v>37</v>
      </c>
      <c r="R244" s="28" t="s">
        <v>57</v>
      </c>
      <c r="S244" s="48">
        <f t="shared" si="102"/>
        <v>29000</v>
      </c>
      <c r="T244" s="48">
        <f t="shared" si="123"/>
        <v>0</v>
      </c>
      <c r="W244" s="28">
        <v>223</v>
      </c>
      <c r="X244" s="105">
        <v>1.42</v>
      </c>
      <c r="Y244" s="105">
        <v>9.4700000000000006</v>
      </c>
      <c r="Z244" s="73" t="s">
        <v>465</v>
      </c>
      <c r="AA244" s="28">
        <v>350</v>
      </c>
    </row>
    <row r="245" spans="1:27" x14ac:dyDescent="0.25">
      <c r="A245" s="4"/>
      <c r="B245" s="98" t="s">
        <v>1117</v>
      </c>
      <c r="C245" s="75" t="s">
        <v>1008</v>
      </c>
      <c r="D245" s="28" t="s">
        <v>1007</v>
      </c>
      <c r="E245" s="28">
        <f t="shared" si="180"/>
        <v>92145</v>
      </c>
      <c r="F245" s="143" t="str">
        <f>INDEX(PV_Summary!$B$18:$B$118,MATCH($E245,PV_Summary!$A$18:$A$118,0))</f>
        <v>N</v>
      </c>
      <c r="G245" s="123">
        <v>32.886358000000001</v>
      </c>
      <c r="H245" s="61">
        <v>-117.13375499999999</v>
      </c>
      <c r="I245" s="44" t="s">
        <v>37</v>
      </c>
      <c r="J245" s="46">
        <f t="shared" si="181"/>
        <v>0.75</v>
      </c>
      <c r="K245" s="100"/>
      <c r="L245" s="44" t="str">
        <f t="shared" si="182"/>
        <v/>
      </c>
      <c r="M245" s="46">
        <f t="shared" si="183"/>
        <v>0.75</v>
      </c>
      <c r="N245" s="46"/>
      <c r="O245" s="41">
        <f t="shared" si="144"/>
        <v>0</v>
      </c>
      <c r="P245" s="42">
        <v>11000</v>
      </c>
      <c r="Q245" s="44" t="s">
        <v>37</v>
      </c>
      <c r="R245" s="28" t="s">
        <v>55</v>
      </c>
      <c r="S245" s="48">
        <f t="shared" si="102"/>
        <v>77000</v>
      </c>
      <c r="T245" s="48">
        <f t="shared" si="123"/>
        <v>0</v>
      </c>
      <c r="W245" s="28">
        <v>223</v>
      </c>
      <c r="X245" s="105">
        <v>1.42</v>
      </c>
      <c r="Y245" s="105">
        <v>9.4700000000000006</v>
      </c>
      <c r="Z245" s="73" t="s">
        <v>465</v>
      </c>
      <c r="AA245" s="28">
        <v>900</v>
      </c>
    </row>
    <row r="246" spans="1:27" x14ac:dyDescent="0.25">
      <c r="A246" s="4"/>
      <c r="B246" s="98" t="s">
        <v>1118</v>
      </c>
      <c r="C246" s="75" t="s">
        <v>1008</v>
      </c>
      <c r="D246" s="28" t="s">
        <v>1007</v>
      </c>
      <c r="E246" s="28">
        <f t="shared" si="180"/>
        <v>92145</v>
      </c>
      <c r="F246" s="143" t="str">
        <f>INDEX(PV_Summary!$B$18:$B$118,MATCH($E246,PV_Summary!$A$18:$A$118,0))</f>
        <v>N</v>
      </c>
      <c r="G246" s="123">
        <v>32.886768000000004</v>
      </c>
      <c r="H246" s="61">
        <v>-117.133177</v>
      </c>
      <c r="I246" s="44" t="s">
        <v>37</v>
      </c>
      <c r="J246" s="46">
        <f t="shared" si="181"/>
        <v>0.75</v>
      </c>
      <c r="K246" s="100"/>
      <c r="L246" s="44" t="str">
        <f t="shared" si="182"/>
        <v/>
      </c>
      <c r="M246" s="46">
        <f t="shared" si="183"/>
        <v>0.75</v>
      </c>
      <c r="N246" s="46"/>
      <c r="O246" s="41">
        <f t="shared" si="144"/>
        <v>0</v>
      </c>
      <c r="P246" s="42">
        <v>20000</v>
      </c>
      <c r="Q246" s="44" t="s">
        <v>37</v>
      </c>
      <c r="R246" s="28" t="s">
        <v>55</v>
      </c>
      <c r="S246" s="48">
        <f t="shared" si="102"/>
        <v>140000</v>
      </c>
      <c r="T246" s="48">
        <f t="shared" si="123"/>
        <v>0</v>
      </c>
      <c r="W246" s="28">
        <v>223</v>
      </c>
      <c r="X246" s="105">
        <v>1.42</v>
      </c>
      <c r="Y246" s="105">
        <v>9.4700000000000006</v>
      </c>
      <c r="Z246" s="73" t="s">
        <v>465</v>
      </c>
      <c r="AA246" s="28">
        <v>1000</v>
      </c>
    </row>
    <row r="247" spans="1:27" x14ac:dyDescent="0.25">
      <c r="A247" s="4"/>
      <c r="B247" s="98" t="s">
        <v>1119</v>
      </c>
      <c r="C247" s="75" t="s">
        <v>1008</v>
      </c>
      <c r="D247" s="28" t="s">
        <v>1007</v>
      </c>
      <c r="E247" s="28">
        <f t="shared" ref="E247" si="184">RIGHT(TRIM(D247),5)*1</f>
        <v>92145</v>
      </c>
      <c r="F247" s="143" t="str">
        <f>INDEX(PV_Summary!$B$18:$B$118,MATCH($E247,PV_Summary!$A$18:$A$118,0))</f>
        <v>N</v>
      </c>
      <c r="G247" s="123">
        <v>32.884988999999997</v>
      </c>
      <c r="H247" s="61">
        <v>-117.12974699999999</v>
      </c>
      <c r="I247" s="44" t="s">
        <v>134</v>
      </c>
      <c r="J247" s="46">
        <f t="shared" ref="J247" si="185">IF(O247&gt;1,Sym_Scl_Aggr_Parent,IF(O247&lt;1,Sym_Scl_Aggr_Child,Sym_Scl_Normal))</f>
        <v>0.75</v>
      </c>
      <c r="K247" s="100"/>
      <c r="L247" s="44" t="str">
        <f t="shared" ref="L247" si="186">IF(O247&gt;1,"Total","")</f>
        <v/>
      </c>
      <c r="M247" s="46">
        <f t="shared" ref="M247" si="187">IF(O247&gt;1,Label_Scl_Aggr_Parent,IF(O247&lt;1,Label_Scl_Aggr_Child,Label_Scl_Normal))</f>
        <v>0.75</v>
      </c>
      <c r="N247" s="46"/>
      <c r="O247" s="41">
        <f t="shared" si="144"/>
        <v>0</v>
      </c>
      <c r="P247" s="42">
        <v>22000</v>
      </c>
      <c r="Q247" s="44" t="s">
        <v>134</v>
      </c>
      <c r="R247" s="28" t="s">
        <v>55</v>
      </c>
      <c r="S247" s="48">
        <f t="shared" si="102"/>
        <v>154000</v>
      </c>
      <c r="T247" s="48">
        <f t="shared" si="123"/>
        <v>0</v>
      </c>
      <c r="W247" s="28">
        <v>223</v>
      </c>
      <c r="X247" s="105">
        <v>1.42</v>
      </c>
      <c r="Y247" s="105">
        <v>9.4700000000000006</v>
      </c>
      <c r="Z247" s="73" t="s">
        <v>465</v>
      </c>
      <c r="AA247" s="28">
        <v>400</v>
      </c>
    </row>
    <row r="248" spans="1:27" x14ac:dyDescent="0.25">
      <c r="A248" s="98"/>
      <c r="B248" s="98" t="s">
        <v>1120</v>
      </c>
      <c r="C248" s="75" t="s">
        <v>1008</v>
      </c>
      <c r="D248" s="28" t="s">
        <v>1007</v>
      </c>
      <c r="E248" s="28">
        <f t="shared" ref="E248" si="188">RIGHT(TRIM(D248),5)*1</f>
        <v>92145</v>
      </c>
      <c r="F248" s="143" t="str">
        <f>INDEX(PV_Summary!$B$18:$B$118,MATCH($E248,PV_Summary!$A$18:$A$118,0))</f>
        <v>N</v>
      </c>
      <c r="G248" s="123">
        <v>32.885863999999998</v>
      </c>
      <c r="H248" s="61">
        <v>-117.128694</v>
      </c>
      <c r="I248" s="44" t="s">
        <v>37</v>
      </c>
      <c r="J248" s="46">
        <f t="shared" ref="J248:J252" si="189">IF(O248&gt;1,Sym_Scl_Aggr_Parent,IF(O248&lt;1,Sym_Scl_Aggr_Child,Sym_Scl_Normal))</f>
        <v>0.75</v>
      </c>
      <c r="K248" s="100"/>
      <c r="L248" s="44" t="str">
        <f t="shared" ref="L248:L252" si="190">IF(O248&gt;1,"Total","")</f>
        <v/>
      </c>
      <c r="M248" s="46">
        <f t="shared" ref="M248:M252" si="191">IF(O248&gt;1,Label_Scl_Aggr_Parent,IF(O248&lt;1,Label_Scl_Aggr_Child,Label_Scl_Normal))</f>
        <v>0.75</v>
      </c>
      <c r="N248" s="46"/>
      <c r="O248" s="41">
        <f t="shared" si="144"/>
        <v>0</v>
      </c>
      <c r="P248" s="42">
        <v>20000</v>
      </c>
      <c r="Q248" s="44" t="s">
        <v>37</v>
      </c>
      <c r="R248" s="28" t="s">
        <v>55</v>
      </c>
      <c r="S248" s="48">
        <f t="shared" si="102"/>
        <v>140000</v>
      </c>
      <c r="T248" s="48">
        <f t="shared" si="123"/>
        <v>0</v>
      </c>
      <c r="W248" s="28">
        <v>223</v>
      </c>
      <c r="X248" s="105">
        <v>1.42</v>
      </c>
      <c r="Y248" s="105">
        <v>9.4700000000000006</v>
      </c>
      <c r="Z248" s="73" t="s">
        <v>465</v>
      </c>
      <c r="AA248" s="28">
        <v>700</v>
      </c>
    </row>
    <row r="249" spans="1:27" x14ac:dyDescent="0.25">
      <c r="A249" s="98"/>
      <c r="B249" s="98" t="s">
        <v>1121</v>
      </c>
      <c r="C249" s="75" t="s">
        <v>1008</v>
      </c>
      <c r="D249" s="28" t="s">
        <v>1007</v>
      </c>
      <c r="E249" s="28">
        <f t="shared" ref="E249:E252" si="192">RIGHT(TRIM(D249),5)*1</f>
        <v>92145</v>
      </c>
      <c r="F249" s="143" t="str">
        <f>INDEX(PV_Summary!$B$18:$B$118,MATCH($E249,PV_Summary!$A$18:$A$118,0))</f>
        <v>N</v>
      </c>
      <c r="G249" s="123">
        <v>32.886747</v>
      </c>
      <c r="H249" s="61">
        <v>-117.128281</v>
      </c>
      <c r="I249" s="44" t="s">
        <v>37</v>
      </c>
      <c r="J249" s="46">
        <f t="shared" si="189"/>
        <v>0.75</v>
      </c>
      <c r="K249" s="100"/>
      <c r="L249" s="44" t="str">
        <f t="shared" si="190"/>
        <v/>
      </c>
      <c r="M249" s="46">
        <f t="shared" si="191"/>
        <v>0.75</v>
      </c>
      <c r="N249" s="46"/>
      <c r="O249" s="41">
        <f t="shared" si="144"/>
        <v>0</v>
      </c>
      <c r="P249" s="42">
        <v>13000</v>
      </c>
      <c r="Q249" s="44" t="s">
        <v>37</v>
      </c>
      <c r="R249" s="28" t="s">
        <v>55</v>
      </c>
      <c r="S249" s="48">
        <f t="shared" si="102"/>
        <v>91000</v>
      </c>
      <c r="T249" s="48">
        <f t="shared" si="123"/>
        <v>0</v>
      </c>
      <c r="W249" s="28">
        <v>223</v>
      </c>
      <c r="X249" s="105">
        <v>1.42</v>
      </c>
      <c r="Y249" s="105">
        <v>9.4700000000000006</v>
      </c>
      <c r="Z249" s="73" t="s">
        <v>465</v>
      </c>
      <c r="AA249" s="28">
        <v>1200</v>
      </c>
    </row>
    <row r="250" spans="1:27" x14ac:dyDescent="0.25">
      <c r="A250" s="98"/>
      <c r="B250" s="98" t="s">
        <v>1122</v>
      </c>
      <c r="C250" s="75" t="s">
        <v>1008</v>
      </c>
      <c r="D250" s="28" t="s">
        <v>1007</v>
      </c>
      <c r="E250" s="28">
        <f t="shared" si="192"/>
        <v>92145</v>
      </c>
      <c r="F250" s="143" t="str">
        <f>INDEX(PV_Summary!$B$18:$B$118,MATCH($E250,PV_Summary!$A$18:$A$118,0))</f>
        <v>N</v>
      </c>
      <c r="G250" s="123">
        <v>32.887205999999999</v>
      </c>
      <c r="H250" s="61">
        <v>-117.12743500000001</v>
      </c>
      <c r="I250" s="44" t="s">
        <v>37</v>
      </c>
      <c r="J250" s="46">
        <f t="shared" si="189"/>
        <v>0.75</v>
      </c>
      <c r="K250" s="100"/>
      <c r="L250" s="44" t="str">
        <f t="shared" si="190"/>
        <v/>
      </c>
      <c r="M250" s="46">
        <f t="shared" si="191"/>
        <v>0.75</v>
      </c>
      <c r="N250" s="46"/>
      <c r="O250" s="41">
        <f t="shared" si="144"/>
        <v>0</v>
      </c>
      <c r="P250" s="42">
        <v>13000</v>
      </c>
      <c r="Q250" s="44" t="s">
        <v>37</v>
      </c>
      <c r="R250" s="28" t="s">
        <v>55</v>
      </c>
      <c r="S250" s="48">
        <f t="shared" si="102"/>
        <v>91000</v>
      </c>
      <c r="T250" s="48">
        <f t="shared" si="123"/>
        <v>0</v>
      </c>
      <c r="W250" s="28">
        <v>223</v>
      </c>
      <c r="X250" s="105">
        <v>1.42</v>
      </c>
      <c r="Y250" s="105">
        <v>9.4700000000000006</v>
      </c>
      <c r="Z250" s="73" t="s">
        <v>465</v>
      </c>
      <c r="AA250" s="28">
        <v>1200</v>
      </c>
    </row>
    <row r="251" spans="1:27" x14ac:dyDescent="0.25">
      <c r="A251" s="98"/>
      <c r="B251" s="98" t="s">
        <v>1123</v>
      </c>
      <c r="C251" s="75" t="s">
        <v>1008</v>
      </c>
      <c r="D251" s="28" t="s">
        <v>1007</v>
      </c>
      <c r="E251" s="28">
        <f t="shared" si="192"/>
        <v>92145</v>
      </c>
      <c r="F251" s="143" t="str">
        <f>INDEX(PV_Summary!$B$18:$B$118,MATCH($E251,PV_Summary!$A$18:$A$118,0))</f>
        <v>N</v>
      </c>
      <c r="G251" s="123">
        <v>32.886552000000002</v>
      </c>
      <c r="H251" s="61">
        <v>-117.12755</v>
      </c>
      <c r="I251" s="44" t="s">
        <v>37</v>
      </c>
      <c r="J251" s="46">
        <f t="shared" si="189"/>
        <v>0.75</v>
      </c>
      <c r="K251" s="100"/>
      <c r="L251" s="44" t="str">
        <f t="shared" si="190"/>
        <v/>
      </c>
      <c r="M251" s="46">
        <f t="shared" si="191"/>
        <v>0.75</v>
      </c>
      <c r="N251" s="46"/>
      <c r="O251" s="41">
        <f t="shared" si="144"/>
        <v>0</v>
      </c>
      <c r="P251" s="42">
        <f>13000*2</f>
        <v>26000</v>
      </c>
      <c r="Q251" s="44" t="s">
        <v>37</v>
      </c>
      <c r="R251" s="28" t="s">
        <v>55</v>
      </c>
      <c r="S251" s="48">
        <f t="shared" si="102"/>
        <v>182000</v>
      </c>
      <c r="T251" s="48">
        <f t="shared" si="123"/>
        <v>0</v>
      </c>
      <c r="W251" s="28">
        <v>223</v>
      </c>
      <c r="X251" s="105">
        <v>1.42</v>
      </c>
      <c r="Y251" s="105">
        <v>9.4700000000000006</v>
      </c>
      <c r="Z251" s="73" t="s">
        <v>465</v>
      </c>
      <c r="AA251" s="28">
        <v>1200</v>
      </c>
    </row>
    <row r="252" spans="1:27" x14ac:dyDescent="0.25">
      <c r="A252" s="4"/>
      <c r="B252" s="98" t="s">
        <v>1124</v>
      </c>
      <c r="C252" s="75" t="s">
        <v>1008</v>
      </c>
      <c r="D252" s="28" t="s">
        <v>1007</v>
      </c>
      <c r="E252" s="28">
        <f t="shared" si="192"/>
        <v>92145</v>
      </c>
      <c r="F252" s="143" t="str">
        <f>INDEX(PV_Summary!$B$18:$B$118,MATCH($E252,PV_Summary!$A$18:$A$118,0))</f>
        <v>N</v>
      </c>
      <c r="G252" s="123">
        <v>32.887241000000003</v>
      </c>
      <c r="H252" s="61">
        <v>-117.126294</v>
      </c>
      <c r="I252" s="44" t="s">
        <v>37</v>
      </c>
      <c r="J252" s="46">
        <f t="shared" si="189"/>
        <v>0.75</v>
      </c>
      <c r="K252" s="100"/>
      <c r="L252" s="44" t="str">
        <f t="shared" si="190"/>
        <v/>
      </c>
      <c r="M252" s="46">
        <f t="shared" si="191"/>
        <v>0.75</v>
      </c>
      <c r="N252" s="46"/>
      <c r="O252" s="41">
        <f t="shared" si="144"/>
        <v>0</v>
      </c>
      <c r="P252" s="42">
        <v>13000</v>
      </c>
      <c r="Q252" s="44" t="s">
        <v>37</v>
      </c>
      <c r="R252" s="28" t="s">
        <v>55</v>
      </c>
      <c r="S252" s="48">
        <f t="shared" si="102"/>
        <v>91000</v>
      </c>
      <c r="T252" s="48">
        <f t="shared" si="123"/>
        <v>0</v>
      </c>
      <c r="W252" s="28">
        <v>223</v>
      </c>
      <c r="X252" s="105">
        <v>1.42</v>
      </c>
      <c r="Y252" s="105">
        <v>9.4700000000000006</v>
      </c>
      <c r="Z252" s="73" t="s">
        <v>465</v>
      </c>
      <c r="AA252" s="28">
        <v>1300</v>
      </c>
    </row>
    <row r="253" spans="1:27" x14ac:dyDescent="0.25">
      <c r="A253" s="4"/>
      <c r="B253" s="98" t="s">
        <v>1127</v>
      </c>
      <c r="C253" s="75" t="s">
        <v>1008</v>
      </c>
      <c r="D253" s="28" t="s">
        <v>1007</v>
      </c>
      <c r="E253" s="28">
        <f t="shared" ref="E253" si="193">RIGHT(TRIM(D253),5)*1</f>
        <v>92145</v>
      </c>
      <c r="F253" s="143" t="str">
        <f>INDEX(PV_Summary!$B$18:$B$118,MATCH($E253,PV_Summary!$A$18:$A$118,0))</f>
        <v>N</v>
      </c>
      <c r="G253" s="123">
        <v>32.888288000000003</v>
      </c>
      <c r="H253" s="61">
        <v>-117.130253</v>
      </c>
      <c r="I253" s="44" t="s">
        <v>37</v>
      </c>
      <c r="J253" s="46">
        <f t="shared" ref="J253:J254" si="194">IF(O253&gt;1,Sym_Scl_Aggr_Parent,IF(O253&lt;1,Sym_Scl_Aggr_Child,Sym_Scl_Normal))</f>
        <v>0.75</v>
      </c>
      <c r="K253" s="100"/>
      <c r="L253" s="44" t="str">
        <f t="shared" ref="L253:L254" si="195">IF(O253&gt;1,"Total","")</f>
        <v/>
      </c>
      <c r="M253" s="46">
        <f t="shared" ref="M253:M254" si="196">IF(O253&gt;1,Label_Scl_Aggr_Parent,IF(O253&lt;1,Label_Scl_Aggr_Child,Label_Scl_Normal))</f>
        <v>0.75</v>
      </c>
      <c r="N253" s="46"/>
      <c r="O253" s="41">
        <f t="shared" si="144"/>
        <v>0</v>
      </c>
      <c r="P253" s="42">
        <v>16000</v>
      </c>
      <c r="Q253" s="44" t="s">
        <v>37</v>
      </c>
      <c r="R253" s="28" t="s">
        <v>56</v>
      </c>
      <c r="S253" s="48">
        <f t="shared" si="102"/>
        <v>96000</v>
      </c>
      <c r="T253" s="48">
        <f t="shared" si="123"/>
        <v>0</v>
      </c>
      <c r="W253" s="28">
        <v>223</v>
      </c>
      <c r="X253" s="105">
        <v>1.42</v>
      </c>
      <c r="Y253" s="105">
        <v>9.4700000000000006</v>
      </c>
      <c r="Z253" s="73" t="s">
        <v>465</v>
      </c>
      <c r="AA253" s="28">
        <v>1600</v>
      </c>
    </row>
    <row r="254" spans="1:27" x14ac:dyDescent="0.25">
      <c r="A254" s="4"/>
      <c r="B254" s="98" t="s">
        <v>1128</v>
      </c>
      <c r="C254" s="75" t="s">
        <v>1008</v>
      </c>
      <c r="D254" s="28" t="s">
        <v>1007</v>
      </c>
      <c r="E254" s="28">
        <f t="shared" ref="E254" si="197">RIGHT(TRIM(D254),5)*1</f>
        <v>92145</v>
      </c>
      <c r="F254" s="143" t="str">
        <f>INDEX(PV_Summary!$B$18:$B$118,MATCH($E254,PV_Summary!$A$18:$A$118,0))</f>
        <v>N</v>
      </c>
      <c r="G254" s="123">
        <v>32.888713000000003</v>
      </c>
      <c r="H254" s="61">
        <v>-117.12882</v>
      </c>
      <c r="I254" s="44" t="s">
        <v>37</v>
      </c>
      <c r="J254" s="46">
        <f t="shared" si="194"/>
        <v>0.75</v>
      </c>
      <c r="K254" s="100"/>
      <c r="L254" s="44" t="str">
        <f t="shared" si="195"/>
        <v/>
      </c>
      <c r="M254" s="46">
        <f t="shared" si="196"/>
        <v>0.75</v>
      </c>
      <c r="N254" s="46"/>
      <c r="O254" s="41">
        <f t="shared" si="144"/>
        <v>0</v>
      </c>
      <c r="P254" s="42">
        <v>13000</v>
      </c>
      <c r="Q254" s="44" t="s">
        <v>37</v>
      </c>
      <c r="R254" s="28" t="s">
        <v>56</v>
      </c>
      <c r="S254" s="48">
        <f t="shared" si="102"/>
        <v>78000</v>
      </c>
      <c r="T254" s="48">
        <f t="shared" si="123"/>
        <v>0</v>
      </c>
      <c r="W254" s="28">
        <v>223</v>
      </c>
      <c r="X254" s="105">
        <v>1.42</v>
      </c>
      <c r="Y254" s="105">
        <v>9.4700000000000006</v>
      </c>
      <c r="Z254" s="73" t="s">
        <v>465</v>
      </c>
      <c r="AA254" s="28">
        <v>1700</v>
      </c>
    </row>
    <row r="255" spans="1:27" x14ac:dyDescent="0.25">
      <c r="A255" s="4"/>
      <c r="B255" s="98" t="s">
        <v>1130</v>
      </c>
      <c r="C255" s="75" t="s">
        <v>1008</v>
      </c>
      <c r="D255" s="28" t="s">
        <v>1007</v>
      </c>
      <c r="E255" s="28">
        <f t="shared" ref="E255:E256" si="198">RIGHT(TRIM(D255),5)*1</f>
        <v>92145</v>
      </c>
      <c r="F255" s="143" t="str">
        <f>INDEX(PV_Summary!$B$18:$B$118,MATCH($E255,PV_Summary!$A$18:$A$118,0))</f>
        <v>N</v>
      </c>
      <c r="G255" s="123">
        <v>32.892622000000003</v>
      </c>
      <c r="H255" s="61">
        <v>-117.12539099999999</v>
      </c>
      <c r="I255" s="44" t="s">
        <v>37</v>
      </c>
      <c r="J255" s="46">
        <f t="shared" ref="J255:J256" si="199">IF(O255&gt;1,Sym_Scl_Aggr_Parent,IF(O255&lt;1,Sym_Scl_Aggr_Child,Sym_Scl_Normal))</f>
        <v>0.75</v>
      </c>
      <c r="K255" s="100"/>
      <c r="L255" s="44" t="str">
        <f t="shared" ref="L255:L256" si="200">IF(O255&gt;1,"Total","")</f>
        <v/>
      </c>
      <c r="M255" s="46">
        <f t="shared" ref="M255:M256" si="201">IF(O255&gt;1,Label_Scl_Aggr_Parent,IF(O255&lt;1,Label_Scl_Aggr_Child,Label_Scl_Normal))</f>
        <v>0.75</v>
      </c>
      <c r="N255" s="46"/>
      <c r="O255" s="41">
        <f t="shared" si="144"/>
        <v>0</v>
      </c>
      <c r="P255" s="42">
        <v>92000</v>
      </c>
      <c r="Q255" s="44" t="s">
        <v>37</v>
      </c>
      <c r="R255" s="28" t="s">
        <v>56</v>
      </c>
      <c r="S255" s="48">
        <f t="shared" si="102"/>
        <v>552000</v>
      </c>
      <c r="T255" s="48">
        <f t="shared" si="123"/>
        <v>0</v>
      </c>
      <c r="W255" s="28">
        <v>223</v>
      </c>
      <c r="X255" s="105">
        <v>1.42</v>
      </c>
      <c r="Y255" s="105">
        <v>9.4700000000000006</v>
      </c>
      <c r="Z255" s="73" t="s">
        <v>465</v>
      </c>
      <c r="AA255" s="28">
        <v>1400</v>
      </c>
    </row>
    <row r="256" spans="1:27" x14ac:dyDescent="0.25">
      <c r="A256" s="4"/>
      <c r="B256" s="98" t="s">
        <v>1129</v>
      </c>
      <c r="C256" s="75" t="s">
        <v>1008</v>
      </c>
      <c r="D256" s="28" t="s">
        <v>1007</v>
      </c>
      <c r="E256" s="28">
        <f t="shared" si="198"/>
        <v>92145</v>
      </c>
      <c r="F256" s="143" t="str">
        <f>INDEX(PV_Summary!$B$18:$B$118,MATCH($E256,PV_Summary!$A$18:$A$118,0))</f>
        <v>N</v>
      </c>
      <c r="G256" s="123">
        <v>32.892761</v>
      </c>
      <c r="H256" s="61">
        <v>-117.124065</v>
      </c>
      <c r="I256" s="44" t="s">
        <v>37</v>
      </c>
      <c r="J256" s="46">
        <f t="shared" si="199"/>
        <v>0.75</v>
      </c>
      <c r="K256" s="100"/>
      <c r="L256" s="44" t="str">
        <f t="shared" si="200"/>
        <v/>
      </c>
      <c r="M256" s="46">
        <f t="shared" si="201"/>
        <v>0.75</v>
      </c>
      <c r="N256" s="46"/>
      <c r="O256" s="41">
        <f t="shared" si="144"/>
        <v>0</v>
      </c>
      <c r="P256" s="42">
        <v>98000</v>
      </c>
      <c r="Q256" s="44" t="s">
        <v>37</v>
      </c>
      <c r="R256" s="28" t="s">
        <v>56</v>
      </c>
      <c r="S256" s="48">
        <f t="shared" si="102"/>
        <v>588000</v>
      </c>
      <c r="T256" s="48">
        <f t="shared" si="123"/>
        <v>0</v>
      </c>
      <c r="W256" s="28">
        <v>223</v>
      </c>
      <c r="X256" s="105">
        <v>1.42</v>
      </c>
      <c r="Y256" s="105">
        <v>9.4700000000000006</v>
      </c>
      <c r="Z256" s="73" t="s">
        <v>465</v>
      </c>
      <c r="AA256" s="28">
        <v>1200</v>
      </c>
    </row>
    <row r="257" spans="1:27" x14ac:dyDescent="0.25">
      <c r="A257" s="4"/>
      <c r="B257" s="98" t="s">
        <v>1132</v>
      </c>
      <c r="C257" s="75" t="s">
        <v>1008</v>
      </c>
      <c r="D257" s="28" t="s">
        <v>1007</v>
      </c>
      <c r="E257" s="28">
        <f t="shared" ref="E257:E264" si="202">RIGHT(TRIM(D257),5)*1</f>
        <v>92145</v>
      </c>
      <c r="F257" s="143" t="str">
        <f>INDEX(PV_Summary!$B$18:$B$118,MATCH($E257,PV_Summary!$A$18:$A$118,0))</f>
        <v>N</v>
      </c>
      <c r="G257" s="123">
        <v>32.885382999999997</v>
      </c>
      <c r="H257" s="61">
        <v>-117.12237500000001</v>
      </c>
      <c r="I257" s="44" t="s">
        <v>37</v>
      </c>
      <c r="J257" s="46">
        <f t="shared" ref="J257:J263" si="203">IF(O257&gt;1,Sym_Scl_Aggr_Parent,IF(O257&lt;1,Sym_Scl_Aggr_Child,Sym_Scl_Normal))</f>
        <v>0.75</v>
      </c>
      <c r="K257" s="100"/>
      <c r="L257" s="44" t="str">
        <f t="shared" ref="L257:L263" si="204">IF(O257&gt;1,"Total","")</f>
        <v/>
      </c>
      <c r="M257" s="46">
        <f t="shared" ref="M257:M263" si="205">IF(O257&gt;1,Label_Scl_Aggr_Parent,IF(O257&lt;1,Label_Scl_Aggr_Child,Label_Scl_Normal))</f>
        <v>0.75</v>
      </c>
      <c r="N257" s="46"/>
      <c r="O257" s="41">
        <f t="shared" si="144"/>
        <v>0</v>
      </c>
      <c r="P257" s="42">
        <v>25000</v>
      </c>
      <c r="Q257" s="44" t="s">
        <v>37</v>
      </c>
      <c r="R257" s="28" t="s">
        <v>57</v>
      </c>
      <c r="S257" s="48">
        <f t="shared" si="102"/>
        <v>125000</v>
      </c>
      <c r="T257" s="48">
        <f t="shared" si="123"/>
        <v>0</v>
      </c>
      <c r="W257" s="28">
        <v>223</v>
      </c>
      <c r="X257" s="105">
        <v>1.42</v>
      </c>
      <c r="Y257" s="105">
        <v>9.4700000000000006</v>
      </c>
      <c r="Z257" s="73" t="s">
        <v>465</v>
      </c>
      <c r="AA257" s="28">
        <v>600</v>
      </c>
    </row>
    <row r="258" spans="1:27" x14ac:dyDescent="0.25">
      <c r="A258" s="4"/>
      <c r="B258" s="98" t="s">
        <v>1133</v>
      </c>
      <c r="C258" s="75" t="s">
        <v>1008</v>
      </c>
      <c r="D258" s="28" t="s">
        <v>1007</v>
      </c>
      <c r="E258" s="28">
        <f t="shared" si="202"/>
        <v>92145</v>
      </c>
      <c r="F258" s="143" t="str">
        <f>INDEX(PV_Summary!$B$18:$B$118,MATCH($E258,PV_Summary!$A$18:$A$118,0))</f>
        <v>N</v>
      </c>
      <c r="G258" s="123">
        <v>32.885348999999998</v>
      </c>
      <c r="H258" s="61">
        <v>-117.12042</v>
      </c>
      <c r="I258" s="44" t="s">
        <v>37</v>
      </c>
      <c r="J258" s="46">
        <f t="shared" si="203"/>
        <v>0.75</v>
      </c>
      <c r="K258" s="100"/>
      <c r="L258" s="44" t="str">
        <f t="shared" si="204"/>
        <v/>
      </c>
      <c r="M258" s="46">
        <f t="shared" si="205"/>
        <v>0.75</v>
      </c>
      <c r="N258" s="46"/>
      <c r="O258" s="41">
        <f t="shared" si="144"/>
        <v>0</v>
      </c>
      <c r="P258" s="42">
        <v>11000</v>
      </c>
      <c r="Q258" s="44" t="s">
        <v>37</v>
      </c>
      <c r="R258" s="28" t="s">
        <v>57</v>
      </c>
      <c r="S258" s="48">
        <f t="shared" si="102"/>
        <v>55000</v>
      </c>
      <c r="T258" s="48">
        <f t="shared" si="123"/>
        <v>0</v>
      </c>
      <c r="W258" s="28">
        <v>223</v>
      </c>
      <c r="X258" s="105">
        <v>1.42</v>
      </c>
      <c r="Y258" s="105">
        <v>9.4700000000000006</v>
      </c>
      <c r="Z258" s="73" t="s">
        <v>465</v>
      </c>
      <c r="AA258" s="28">
        <v>500</v>
      </c>
    </row>
    <row r="259" spans="1:27" x14ac:dyDescent="0.25">
      <c r="A259" s="4"/>
      <c r="B259" s="98" t="s">
        <v>1135</v>
      </c>
      <c r="C259" s="75" t="s">
        <v>1008</v>
      </c>
      <c r="D259" s="28" t="s">
        <v>1007</v>
      </c>
      <c r="E259" s="28">
        <f t="shared" si="202"/>
        <v>92145</v>
      </c>
      <c r="F259" s="143" t="str">
        <f>INDEX(PV_Summary!$B$18:$B$118,MATCH($E259,PV_Summary!$A$18:$A$118,0))</f>
        <v>N</v>
      </c>
      <c r="G259" s="123">
        <v>32.886296000000002</v>
      </c>
      <c r="H259" s="61">
        <v>-117.12118700000001</v>
      </c>
      <c r="I259" s="44" t="s">
        <v>37</v>
      </c>
      <c r="J259" s="46">
        <f t="shared" si="203"/>
        <v>0.75</v>
      </c>
      <c r="K259" s="100"/>
      <c r="L259" s="44" t="str">
        <f t="shared" si="204"/>
        <v/>
      </c>
      <c r="M259" s="46">
        <f t="shared" si="205"/>
        <v>0.75</v>
      </c>
      <c r="N259" s="46"/>
      <c r="O259" s="41">
        <f t="shared" si="144"/>
        <v>0</v>
      </c>
      <c r="P259" s="42">
        <v>26000</v>
      </c>
      <c r="Q259" s="44" t="s">
        <v>37</v>
      </c>
      <c r="R259" s="28" t="s">
        <v>56</v>
      </c>
      <c r="S259" s="48">
        <f t="shared" si="102"/>
        <v>156000</v>
      </c>
      <c r="T259" s="48">
        <f t="shared" ref="T259:T322" si="206">SUMIF($C:$C,$C259,$S:$S)*IF($O259&gt;=1,1,0)</f>
        <v>0</v>
      </c>
      <c r="W259" s="28">
        <v>223</v>
      </c>
      <c r="X259" s="105">
        <v>1.42</v>
      </c>
      <c r="Y259" s="105">
        <v>9.4700000000000006</v>
      </c>
      <c r="Z259" s="73" t="s">
        <v>465</v>
      </c>
      <c r="AA259" s="28">
        <v>800</v>
      </c>
    </row>
    <row r="260" spans="1:27" x14ac:dyDescent="0.25">
      <c r="A260" s="4"/>
      <c r="B260" s="98" t="s">
        <v>1134</v>
      </c>
      <c r="C260" s="75" t="s">
        <v>1008</v>
      </c>
      <c r="D260" s="28" t="s">
        <v>1007</v>
      </c>
      <c r="E260" s="28">
        <f t="shared" si="202"/>
        <v>92145</v>
      </c>
      <c r="F260" s="143" t="str">
        <f>INDEX(PV_Summary!$B$18:$B$118,MATCH($E260,PV_Summary!$A$18:$A$118,0))</f>
        <v>N</v>
      </c>
      <c r="G260" s="123">
        <v>32.887217999999997</v>
      </c>
      <c r="H260" s="61">
        <v>-117.122221</v>
      </c>
      <c r="I260" s="44" t="s">
        <v>37</v>
      </c>
      <c r="J260" s="46">
        <f t="shared" si="203"/>
        <v>0.75</v>
      </c>
      <c r="K260" s="100"/>
      <c r="L260" s="44" t="str">
        <f t="shared" si="204"/>
        <v/>
      </c>
      <c r="M260" s="46">
        <f t="shared" si="205"/>
        <v>0.75</v>
      </c>
      <c r="N260" s="46"/>
      <c r="O260" s="41">
        <f t="shared" si="144"/>
        <v>0</v>
      </c>
      <c r="P260" s="42">
        <v>18000</v>
      </c>
      <c r="Q260" s="44" t="s">
        <v>37</v>
      </c>
      <c r="R260" s="28" t="s">
        <v>56</v>
      </c>
      <c r="S260" s="48">
        <f t="shared" si="102"/>
        <v>108000</v>
      </c>
      <c r="T260" s="48">
        <f t="shared" si="206"/>
        <v>0</v>
      </c>
      <c r="W260" s="28">
        <v>223</v>
      </c>
      <c r="X260" s="105">
        <v>1.42</v>
      </c>
      <c r="Y260" s="105">
        <v>9.4700000000000006</v>
      </c>
      <c r="Z260" s="73" t="s">
        <v>465</v>
      </c>
      <c r="AA260" s="28">
        <v>1100</v>
      </c>
    </row>
    <row r="261" spans="1:27" x14ac:dyDescent="0.25">
      <c r="A261" s="4"/>
      <c r="B261" s="98" t="s">
        <v>1136</v>
      </c>
      <c r="C261" s="75" t="s">
        <v>1008</v>
      </c>
      <c r="D261" s="28" t="s">
        <v>1007</v>
      </c>
      <c r="E261" s="28">
        <f t="shared" si="202"/>
        <v>92145</v>
      </c>
      <c r="F261" s="143" t="str">
        <f>INDEX(PV_Summary!$B$18:$B$118,MATCH($E261,PV_Summary!$A$18:$A$118,0))</f>
        <v>N</v>
      </c>
      <c r="G261" s="123">
        <v>32.887211999999998</v>
      </c>
      <c r="H261" s="61">
        <v>-117.11999</v>
      </c>
      <c r="I261" s="44" t="s">
        <v>37</v>
      </c>
      <c r="J261" s="46">
        <f t="shared" si="203"/>
        <v>0.75</v>
      </c>
      <c r="K261" s="100"/>
      <c r="L261" s="44" t="str">
        <f t="shared" si="204"/>
        <v/>
      </c>
      <c r="M261" s="46">
        <f t="shared" si="205"/>
        <v>0.75</v>
      </c>
      <c r="N261" s="46"/>
      <c r="O261" s="41">
        <f t="shared" si="144"/>
        <v>0</v>
      </c>
      <c r="P261" s="42">
        <v>10000</v>
      </c>
      <c r="Q261" s="44" t="s">
        <v>37</v>
      </c>
      <c r="R261" s="28" t="s">
        <v>57</v>
      </c>
      <c r="S261" s="48">
        <f t="shared" si="102"/>
        <v>50000</v>
      </c>
      <c r="T261" s="48">
        <f t="shared" si="206"/>
        <v>0</v>
      </c>
      <c r="W261" s="28">
        <v>223</v>
      </c>
      <c r="X261" s="105">
        <v>1.42</v>
      </c>
      <c r="Y261" s="105">
        <v>9.4700000000000006</v>
      </c>
      <c r="Z261" s="73" t="s">
        <v>465</v>
      </c>
      <c r="AA261" s="28">
        <v>400</v>
      </c>
    </row>
    <row r="262" spans="1:27" x14ac:dyDescent="0.25">
      <c r="A262" s="4"/>
      <c r="B262" s="98" t="s">
        <v>1137</v>
      </c>
      <c r="C262" s="75" t="s">
        <v>1008</v>
      </c>
      <c r="D262" s="28" t="s">
        <v>1007</v>
      </c>
      <c r="E262" s="28">
        <f t="shared" si="202"/>
        <v>92145</v>
      </c>
      <c r="F262" s="143" t="str">
        <f>INDEX(PV_Summary!$B$18:$B$118,MATCH($E262,PV_Summary!$A$18:$A$118,0))</f>
        <v>N</v>
      </c>
      <c r="G262" s="123">
        <v>32.886763000000002</v>
      </c>
      <c r="H262" s="61">
        <v>-117.11908</v>
      </c>
      <c r="I262" s="44" t="s">
        <v>37</v>
      </c>
      <c r="J262" s="46">
        <f t="shared" si="203"/>
        <v>0.75</v>
      </c>
      <c r="K262" s="100"/>
      <c r="L262" s="44" t="str">
        <f t="shared" si="204"/>
        <v/>
      </c>
      <c r="M262" s="46">
        <f t="shared" si="205"/>
        <v>0.75</v>
      </c>
      <c r="N262" s="46"/>
      <c r="O262" s="41">
        <f t="shared" si="144"/>
        <v>0</v>
      </c>
      <c r="P262" s="42">
        <f>9000-1500</f>
        <v>7500</v>
      </c>
      <c r="Q262" s="44" t="s">
        <v>37</v>
      </c>
      <c r="R262" s="28" t="s">
        <v>55</v>
      </c>
      <c r="S262" s="48">
        <f t="shared" si="102"/>
        <v>52500</v>
      </c>
      <c r="T262" s="48">
        <f t="shared" si="206"/>
        <v>0</v>
      </c>
      <c r="W262" s="28">
        <v>223</v>
      </c>
      <c r="X262" s="105">
        <v>1.42</v>
      </c>
      <c r="Y262" s="105">
        <v>9.4700000000000006</v>
      </c>
      <c r="Z262" s="73" t="s">
        <v>465</v>
      </c>
      <c r="AA262" s="28">
        <v>200</v>
      </c>
    </row>
    <row r="263" spans="1:27" x14ac:dyDescent="0.25">
      <c r="A263" s="4"/>
      <c r="B263" s="98" t="s">
        <v>1138</v>
      </c>
      <c r="C263" s="75" t="s">
        <v>1008</v>
      </c>
      <c r="D263" s="28" t="s">
        <v>1007</v>
      </c>
      <c r="E263" s="28">
        <f t="shared" si="202"/>
        <v>92145</v>
      </c>
      <c r="F263" s="143" t="str">
        <f>INDEX(PV_Summary!$B$18:$B$118,MATCH($E263,PV_Summary!$A$18:$A$118,0))</f>
        <v>N</v>
      </c>
      <c r="G263" s="123">
        <v>32.885778000000002</v>
      </c>
      <c r="H263" s="61">
        <v>-117.11912100000001</v>
      </c>
      <c r="I263" s="44" t="s">
        <v>37</v>
      </c>
      <c r="J263" s="46">
        <f t="shared" si="203"/>
        <v>0.75</v>
      </c>
      <c r="K263" s="100"/>
      <c r="L263" s="44" t="str">
        <f t="shared" si="204"/>
        <v/>
      </c>
      <c r="M263" s="46">
        <f t="shared" si="205"/>
        <v>0.75</v>
      </c>
      <c r="N263" s="46"/>
      <c r="O263" s="41">
        <f t="shared" si="144"/>
        <v>0</v>
      </c>
      <c r="P263" s="42">
        <f>9000-1500</f>
        <v>7500</v>
      </c>
      <c r="Q263" s="44" t="s">
        <v>37</v>
      </c>
      <c r="R263" s="28" t="s">
        <v>55</v>
      </c>
      <c r="S263" s="48">
        <f t="shared" si="102"/>
        <v>52500</v>
      </c>
      <c r="T263" s="48">
        <f t="shared" si="206"/>
        <v>0</v>
      </c>
      <c r="W263" s="28">
        <v>223</v>
      </c>
      <c r="X263" s="105">
        <v>1.42</v>
      </c>
      <c r="Y263" s="105">
        <v>9.4700000000000006</v>
      </c>
      <c r="Z263" s="73" t="s">
        <v>465</v>
      </c>
      <c r="AA263" s="28">
        <v>300</v>
      </c>
    </row>
    <row r="264" spans="1:27" x14ac:dyDescent="0.25">
      <c r="A264" s="4"/>
      <c r="B264" s="98" t="s">
        <v>1139</v>
      </c>
      <c r="C264" s="75" t="s">
        <v>1008</v>
      </c>
      <c r="D264" s="28" t="s">
        <v>1007</v>
      </c>
      <c r="E264" s="28">
        <f t="shared" si="202"/>
        <v>92145</v>
      </c>
      <c r="F264" s="143" t="str">
        <f>INDEX(PV_Summary!$B$18:$B$118,MATCH($E264,PV_Summary!$A$18:$A$118,0))</f>
        <v>N</v>
      </c>
      <c r="G264" s="123">
        <v>32.886046</v>
      </c>
      <c r="H264" s="61">
        <v>-117.11763000000001</v>
      </c>
      <c r="I264" s="44" t="s">
        <v>37</v>
      </c>
      <c r="J264" s="46">
        <f t="shared" ref="J264:J267" si="207">IF(O264&gt;1,Sym_Scl_Aggr_Parent,IF(O264&lt;1,Sym_Scl_Aggr_Child,Sym_Scl_Normal))</f>
        <v>0.75</v>
      </c>
      <c r="K264" s="100"/>
      <c r="L264" s="44" t="str">
        <f t="shared" ref="L264:L267" si="208">IF(O264&gt;1,"Total","")</f>
        <v/>
      </c>
      <c r="M264" s="46">
        <f t="shared" ref="M264:M267" si="209">IF(O264&gt;1,Label_Scl_Aggr_Parent,IF(O264&lt;1,Label_Scl_Aggr_Child,Label_Scl_Normal))</f>
        <v>0.75</v>
      </c>
      <c r="N264" s="46"/>
      <c r="O264" s="41">
        <f t="shared" si="144"/>
        <v>0</v>
      </c>
      <c r="P264" s="42">
        <v>253000</v>
      </c>
      <c r="Q264" s="44" t="s">
        <v>37</v>
      </c>
      <c r="R264" s="28" t="s">
        <v>55</v>
      </c>
      <c r="S264" s="48">
        <f t="shared" si="102"/>
        <v>1771000</v>
      </c>
      <c r="T264" s="48">
        <f t="shared" si="206"/>
        <v>0</v>
      </c>
      <c r="W264" s="28">
        <v>223</v>
      </c>
      <c r="X264" s="105">
        <v>1.42</v>
      </c>
      <c r="Y264" s="105">
        <v>9.4700000000000006</v>
      </c>
      <c r="Z264" s="73" t="s">
        <v>465</v>
      </c>
      <c r="AA264" s="28">
        <v>200</v>
      </c>
    </row>
    <row r="265" spans="1:27" x14ac:dyDescent="0.25">
      <c r="A265" s="4"/>
      <c r="B265" s="98" t="s">
        <v>1140</v>
      </c>
      <c r="C265" s="75" t="s">
        <v>1008</v>
      </c>
      <c r="D265" s="28" t="s">
        <v>1007</v>
      </c>
      <c r="E265" s="28">
        <f t="shared" ref="E265" si="210">RIGHT(TRIM(D265),5)*1</f>
        <v>92145</v>
      </c>
      <c r="F265" s="143" t="str">
        <f>INDEX(PV_Summary!$B$18:$B$118,MATCH($E265,PV_Summary!$A$18:$A$118,0))</f>
        <v>N</v>
      </c>
      <c r="G265" s="123">
        <v>32.890242000000001</v>
      </c>
      <c r="H265" s="61">
        <v>-117.133954</v>
      </c>
      <c r="I265" s="44" t="s">
        <v>134</v>
      </c>
      <c r="J265" s="46">
        <f t="shared" si="207"/>
        <v>0.75</v>
      </c>
      <c r="K265" s="100"/>
      <c r="L265" s="44" t="str">
        <f t="shared" si="208"/>
        <v/>
      </c>
      <c r="M265" s="46">
        <f t="shared" si="209"/>
        <v>0.75</v>
      </c>
      <c r="N265" s="46"/>
      <c r="O265" s="41">
        <f t="shared" si="144"/>
        <v>0</v>
      </c>
      <c r="P265" s="42">
        <v>19000</v>
      </c>
      <c r="Q265" s="44" t="s">
        <v>134</v>
      </c>
      <c r="R265" s="28" t="s">
        <v>55</v>
      </c>
      <c r="S265" s="48">
        <f t="shared" si="102"/>
        <v>133000</v>
      </c>
      <c r="T265" s="48">
        <f t="shared" si="206"/>
        <v>0</v>
      </c>
      <c r="W265" s="28">
        <v>223</v>
      </c>
      <c r="X265" s="105">
        <v>1.42</v>
      </c>
      <c r="Y265" s="105">
        <v>9.4700000000000006</v>
      </c>
      <c r="Z265" s="73" t="s">
        <v>465</v>
      </c>
      <c r="AA265" s="28">
        <v>2300</v>
      </c>
    </row>
    <row r="266" spans="1:27" x14ac:dyDescent="0.25">
      <c r="A266" s="4"/>
      <c r="B266" s="98" t="s">
        <v>1010</v>
      </c>
      <c r="C266" s="75" t="s">
        <v>1008</v>
      </c>
      <c r="D266" s="28" t="s">
        <v>1007</v>
      </c>
      <c r="E266" s="28">
        <f t="shared" si="119"/>
        <v>92145</v>
      </c>
      <c r="F266" s="143" t="str">
        <f>INDEX(PV_Summary!$B$18:$B$118,MATCH($E266,PV_Summary!$A$18:$A$118,0))</f>
        <v>N</v>
      </c>
      <c r="G266" s="123">
        <v>32.882733999999999</v>
      </c>
      <c r="H266" s="61">
        <v>-117.11166900000001</v>
      </c>
      <c r="I266" s="44" t="s">
        <v>3</v>
      </c>
      <c r="J266" s="46">
        <f t="shared" si="207"/>
        <v>0.75</v>
      </c>
      <c r="K266" s="100"/>
      <c r="L266" s="44" t="str">
        <f t="shared" si="208"/>
        <v/>
      </c>
      <c r="M266" s="46">
        <f t="shared" si="209"/>
        <v>0.75</v>
      </c>
      <c r="N266" s="46"/>
      <c r="O266" s="41">
        <f t="shared" si="144"/>
        <v>0</v>
      </c>
      <c r="P266" s="42">
        <v>639000</v>
      </c>
      <c r="Q266" s="44" t="s">
        <v>3</v>
      </c>
      <c r="R266" s="28" t="s">
        <v>55</v>
      </c>
      <c r="S266" s="48">
        <f t="shared" si="102"/>
        <v>4473000</v>
      </c>
      <c r="T266" s="48">
        <f t="shared" si="206"/>
        <v>0</v>
      </c>
      <c r="W266" s="28">
        <v>223</v>
      </c>
      <c r="X266" s="105">
        <v>1.42</v>
      </c>
      <c r="Y266" s="105">
        <v>9.4700000000000006</v>
      </c>
      <c r="Z266" s="73" t="s">
        <v>465</v>
      </c>
      <c r="AA266" s="28">
        <v>700</v>
      </c>
    </row>
    <row r="267" spans="1:27" x14ac:dyDescent="0.25">
      <c r="A267" s="4"/>
      <c r="B267" s="28" t="s">
        <v>1088</v>
      </c>
      <c r="C267" s="75" t="s">
        <v>1089</v>
      </c>
      <c r="D267" s="28" t="s">
        <v>1090</v>
      </c>
      <c r="E267" s="28">
        <f t="shared" si="119"/>
        <v>92126</v>
      </c>
      <c r="F267" s="143" t="str">
        <f>INDEX(PV_Summary!$B$18:$B$118,MATCH($E267,PV_Summary!$A$18:$A$118,0))</f>
        <v>N</v>
      </c>
      <c r="G267" s="123">
        <v>32.891981000000001</v>
      </c>
      <c r="H267" s="61">
        <v>-117.116573</v>
      </c>
      <c r="I267" s="44" t="s">
        <v>210</v>
      </c>
      <c r="J267" s="46">
        <f t="shared" ca="1" si="207"/>
        <v>1</v>
      </c>
      <c r="K267" s="100" t="s">
        <v>157</v>
      </c>
      <c r="L267" s="44" t="str">
        <f t="shared" ca="1" si="208"/>
        <v/>
      </c>
      <c r="M267" s="46">
        <f t="shared" ca="1" si="209"/>
        <v>1</v>
      </c>
      <c r="N267" s="46"/>
      <c r="O267" s="41">
        <f t="shared" ca="1" si="144"/>
        <v>1</v>
      </c>
      <c r="Q267" s="44" t="s">
        <v>172</v>
      </c>
      <c r="S267" s="48">
        <f t="shared" si="102"/>
        <v>0</v>
      </c>
      <c r="T267" s="48">
        <f t="shared" ca="1" si="206"/>
        <v>0</v>
      </c>
      <c r="W267" s="28">
        <v>223</v>
      </c>
      <c r="X267" s="105">
        <v>1.42</v>
      </c>
      <c r="Y267" s="105">
        <v>9.4700000000000006</v>
      </c>
      <c r="Z267" s="73" t="s">
        <v>465</v>
      </c>
      <c r="AA267" s="28">
        <v>500</v>
      </c>
    </row>
    <row r="268" spans="1:27" x14ac:dyDescent="0.25">
      <c r="A268" s="4"/>
      <c r="B268" s="62" t="s">
        <v>1256</v>
      </c>
      <c r="C268" s="75" t="s">
        <v>1255</v>
      </c>
      <c r="D268" s="28" t="s">
        <v>1237</v>
      </c>
      <c r="E268" s="28">
        <f t="shared" ref="E268:E309" si="211">RIGHT(TRIM(D268),5)*1</f>
        <v>92130</v>
      </c>
      <c r="F268" s="143" t="str">
        <f>INDEX(PV_Summary!$B$18:$B$118,MATCH($E268,PV_Summary!$A$18:$A$118,0))</f>
        <v>N</v>
      </c>
      <c r="G268" s="123">
        <v>32.952109</v>
      </c>
      <c r="H268" s="61">
        <v>-117.23260399999999</v>
      </c>
      <c r="I268" s="44" t="s">
        <v>62</v>
      </c>
      <c r="J268" s="46">
        <f t="shared" ref="J268" ca="1" si="212">IF(O268&gt;1,Sym_Scl_Aggr_Parent,IF(O268&lt;1,Sym_Scl_Aggr_Child,Sym_Scl_Normal))</f>
        <v>1.5</v>
      </c>
      <c r="K268" s="100"/>
      <c r="L268" s="44" t="str">
        <f t="shared" ref="L268" ca="1" si="213">IF(O268&gt;1,"Total","")</f>
        <v>Total</v>
      </c>
      <c r="M268" s="46">
        <f t="shared" ref="M268" ca="1" si="214">IF(O268&gt;1,Label_Scl_Aggr_Parent,IF(O268&lt;1,Label_Scl_Aggr_Child,Label_Scl_Normal))</f>
        <v>1.25</v>
      </c>
      <c r="N268" s="46"/>
      <c r="O268" s="41">
        <f t="shared" ca="1" si="144"/>
        <v>8</v>
      </c>
      <c r="Q268" s="44"/>
      <c r="S268" s="48">
        <f t="shared" si="102"/>
        <v>0</v>
      </c>
      <c r="T268" s="48">
        <f t="shared" ca="1" si="206"/>
        <v>2961000</v>
      </c>
      <c r="U268" s="28" t="s">
        <v>1356</v>
      </c>
      <c r="W268" s="28">
        <v>830</v>
      </c>
      <c r="X268" s="105">
        <v>1.5</v>
      </c>
      <c r="Y268" s="105">
        <v>9.98</v>
      </c>
      <c r="Z268" s="73" t="s">
        <v>1249</v>
      </c>
      <c r="AA268" s="28"/>
    </row>
    <row r="269" spans="1:27" x14ac:dyDescent="0.25">
      <c r="A269" s="4"/>
      <c r="B269" s="98" t="s">
        <v>1257</v>
      </c>
      <c r="C269" s="75" t="s">
        <v>1255</v>
      </c>
      <c r="D269" s="28" t="s">
        <v>1237</v>
      </c>
      <c r="E269" s="28">
        <f t="shared" si="211"/>
        <v>92130</v>
      </c>
      <c r="F269" s="143" t="str">
        <f>INDEX(PV_Summary!$B$18:$B$118,MATCH($E269,PV_Summary!$A$18:$A$118,0))</f>
        <v>N</v>
      </c>
      <c r="G269" s="123">
        <v>32.953972</v>
      </c>
      <c r="H269" s="61">
        <v>-117.230951</v>
      </c>
      <c r="I269" s="44" t="s">
        <v>3</v>
      </c>
      <c r="J269" s="46">
        <f t="shared" ref="J269:J282" si="215">IF(O269&gt;1,Sym_Scl_Aggr_Parent,IF(O269&lt;1,Sym_Scl_Aggr_Child,Sym_Scl_Normal))</f>
        <v>0.75</v>
      </c>
      <c r="K269" s="100"/>
      <c r="L269" s="44" t="str">
        <f t="shared" ref="L269:L282" si="216">IF(O269&gt;1,"Total","")</f>
        <v/>
      </c>
      <c r="M269" s="46">
        <f t="shared" ref="M269:M282" si="217">IF(O269&gt;1,Label_Scl_Aggr_Parent,IF(O269&lt;1,Label_Scl_Aggr_Child,Label_Scl_Normal))</f>
        <v>0.75</v>
      </c>
      <c r="N269" s="46"/>
      <c r="O269" s="41">
        <f t="shared" si="144"/>
        <v>0</v>
      </c>
      <c r="P269" s="42">
        <v>58000</v>
      </c>
      <c r="Q269" s="44" t="s">
        <v>3</v>
      </c>
      <c r="R269" s="28" t="s">
        <v>55</v>
      </c>
      <c r="S269" s="48">
        <f t="shared" si="102"/>
        <v>406000</v>
      </c>
      <c r="T269" s="48">
        <f t="shared" si="206"/>
        <v>0</v>
      </c>
      <c r="W269" s="28">
        <v>833</v>
      </c>
      <c r="X269" s="105">
        <v>1.4</v>
      </c>
      <c r="Y269" s="105">
        <v>9.35</v>
      </c>
      <c r="Z269" s="73" t="s">
        <v>1249</v>
      </c>
      <c r="AA269" s="28">
        <v>0</v>
      </c>
    </row>
    <row r="270" spans="1:27" x14ac:dyDescent="0.25">
      <c r="A270" s="4"/>
      <c r="B270" s="98" t="s">
        <v>1258</v>
      </c>
      <c r="C270" s="75" t="s">
        <v>1255</v>
      </c>
      <c r="D270" s="28" t="s">
        <v>1237</v>
      </c>
      <c r="E270" s="28">
        <f t="shared" si="211"/>
        <v>92130</v>
      </c>
      <c r="F270" s="143" t="str">
        <f>INDEX(PV_Summary!$B$18:$B$118,MATCH($E270,PV_Summary!$A$18:$A$118,0))</f>
        <v>N</v>
      </c>
      <c r="G270" s="123">
        <v>32.953688999999997</v>
      </c>
      <c r="H270" s="61">
        <v>-117.23208700000001</v>
      </c>
      <c r="I270" s="44" t="s">
        <v>3</v>
      </c>
      <c r="J270" s="46">
        <f t="shared" si="215"/>
        <v>0.75</v>
      </c>
      <c r="K270" s="100"/>
      <c r="L270" s="44" t="str">
        <f t="shared" si="216"/>
        <v/>
      </c>
      <c r="M270" s="46">
        <f t="shared" si="217"/>
        <v>0.75</v>
      </c>
      <c r="N270" s="46"/>
      <c r="O270" s="41">
        <f t="shared" si="144"/>
        <v>0</v>
      </c>
      <c r="P270" s="42">
        <v>116000</v>
      </c>
      <c r="Q270" s="44" t="s">
        <v>3</v>
      </c>
      <c r="R270" s="28" t="s">
        <v>55</v>
      </c>
      <c r="S270" s="48">
        <f t="shared" si="102"/>
        <v>812000</v>
      </c>
      <c r="T270" s="48">
        <f t="shared" si="206"/>
        <v>0</v>
      </c>
      <c r="W270" s="28">
        <v>833</v>
      </c>
      <c r="X270" s="105">
        <v>1.4</v>
      </c>
      <c r="Y270" s="105">
        <v>9.35</v>
      </c>
      <c r="Z270" s="73" t="s">
        <v>1249</v>
      </c>
      <c r="AA270" s="28">
        <v>0</v>
      </c>
    </row>
    <row r="271" spans="1:27" x14ac:dyDescent="0.25">
      <c r="A271" s="4"/>
      <c r="B271" s="98" t="s">
        <v>1259</v>
      </c>
      <c r="C271" s="75" t="s">
        <v>1255</v>
      </c>
      <c r="D271" s="28" t="s">
        <v>1237</v>
      </c>
      <c r="E271" s="28">
        <f t="shared" si="211"/>
        <v>92130</v>
      </c>
      <c r="F271" s="143" t="str">
        <f>INDEX(PV_Summary!$B$18:$B$118,MATCH($E271,PV_Summary!$A$18:$A$118,0))</f>
        <v>N</v>
      </c>
      <c r="G271" s="123">
        <v>32.952993999999997</v>
      </c>
      <c r="H271" s="61">
        <v>-117.23325699999999</v>
      </c>
      <c r="I271" s="44" t="s">
        <v>3</v>
      </c>
      <c r="J271" s="46">
        <f t="shared" si="215"/>
        <v>0.75</v>
      </c>
      <c r="K271" s="100"/>
      <c r="L271" s="44" t="str">
        <f t="shared" si="216"/>
        <v/>
      </c>
      <c r="M271" s="46">
        <f t="shared" si="217"/>
        <v>0.75</v>
      </c>
      <c r="N271" s="46"/>
      <c r="O271" s="41">
        <f t="shared" si="144"/>
        <v>0</v>
      </c>
      <c r="P271" s="42">
        <v>61000</v>
      </c>
      <c r="Q271" s="44" t="s">
        <v>3</v>
      </c>
      <c r="R271" s="28" t="s">
        <v>55</v>
      </c>
      <c r="S271" s="48">
        <f t="shared" si="102"/>
        <v>427000</v>
      </c>
      <c r="T271" s="48">
        <f t="shared" si="206"/>
        <v>0</v>
      </c>
      <c r="W271" s="28">
        <v>833</v>
      </c>
      <c r="X271" s="105">
        <v>1.4</v>
      </c>
      <c r="Y271" s="105">
        <v>9.35</v>
      </c>
      <c r="Z271" s="73" t="s">
        <v>1249</v>
      </c>
      <c r="AA271" s="28">
        <v>0</v>
      </c>
    </row>
    <row r="272" spans="1:27" x14ac:dyDescent="0.25">
      <c r="A272" s="4"/>
      <c r="B272" s="98" t="s">
        <v>1260</v>
      </c>
      <c r="C272" s="75" t="s">
        <v>1255</v>
      </c>
      <c r="D272" s="28" t="s">
        <v>1237</v>
      </c>
      <c r="E272" s="28">
        <f t="shared" si="211"/>
        <v>92130</v>
      </c>
      <c r="F272" s="143" t="str">
        <f>INDEX(PV_Summary!$B$18:$B$118,MATCH($E272,PV_Summary!$A$18:$A$118,0))</f>
        <v>N</v>
      </c>
      <c r="G272" s="123">
        <v>32.952016</v>
      </c>
      <c r="H272" s="61">
        <v>-117.233146</v>
      </c>
      <c r="I272" s="44" t="s">
        <v>3</v>
      </c>
      <c r="J272" s="46">
        <f t="shared" si="215"/>
        <v>0.75</v>
      </c>
      <c r="K272" s="100"/>
      <c r="L272" s="44" t="str">
        <f t="shared" si="216"/>
        <v/>
      </c>
      <c r="M272" s="46">
        <f t="shared" si="217"/>
        <v>0.75</v>
      </c>
      <c r="N272" s="46"/>
      <c r="O272" s="41">
        <f t="shared" si="144"/>
        <v>0</v>
      </c>
      <c r="P272" s="42">
        <v>57000</v>
      </c>
      <c r="Q272" s="44" t="s">
        <v>3</v>
      </c>
      <c r="R272" s="28" t="s">
        <v>55</v>
      </c>
      <c r="S272" s="48">
        <f t="shared" si="102"/>
        <v>399000</v>
      </c>
      <c r="T272" s="48">
        <f t="shared" si="206"/>
        <v>0</v>
      </c>
      <c r="W272" s="28">
        <v>833</v>
      </c>
      <c r="X272" s="105">
        <v>1.4</v>
      </c>
      <c r="Y272" s="105">
        <v>9.35</v>
      </c>
      <c r="Z272" s="73" t="s">
        <v>1249</v>
      </c>
      <c r="AA272" s="28">
        <v>0</v>
      </c>
    </row>
    <row r="273" spans="1:27" x14ac:dyDescent="0.25">
      <c r="A273" s="4"/>
      <c r="B273" s="98" t="s">
        <v>1261</v>
      </c>
      <c r="C273" s="75" t="s">
        <v>1255</v>
      </c>
      <c r="D273" s="28" t="s">
        <v>1237</v>
      </c>
      <c r="E273" s="28">
        <f t="shared" si="211"/>
        <v>92130</v>
      </c>
      <c r="F273" s="143" t="str">
        <f>INDEX(PV_Summary!$B$18:$B$118,MATCH($E273,PV_Summary!$A$18:$A$118,0))</f>
        <v>N</v>
      </c>
      <c r="G273" s="123">
        <v>32.950732000000002</v>
      </c>
      <c r="H273" s="61">
        <v>-117.233547</v>
      </c>
      <c r="I273" s="44" t="s">
        <v>3</v>
      </c>
      <c r="J273" s="46">
        <f t="shared" si="215"/>
        <v>0.75</v>
      </c>
      <c r="K273" s="100"/>
      <c r="L273" s="44" t="str">
        <f t="shared" si="216"/>
        <v/>
      </c>
      <c r="M273" s="46">
        <f t="shared" si="217"/>
        <v>0.75</v>
      </c>
      <c r="N273" s="46"/>
      <c r="O273" s="41">
        <f t="shared" si="144"/>
        <v>0</v>
      </c>
      <c r="P273" s="42">
        <v>71000</v>
      </c>
      <c r="Q273" s="44" t="s">
        <v>3</v>
      </c>
      <c r="R273" s="28" t="s">
        <v>55</v>
      </c>
      <c r="S273" s="48">
        <f t="shared" si="102"/>
        <v>497000</v>
      </c>
      <c r="T273" s="48">
        <f t="shared" si="206"/>
        <v>0</v>
      </c>
      <c r="W273" s="28">
        <v>830</v>
      </c>
      <c r="X273" s="105">
        <v>1.5</v>
      </c>
      <c r="Y273" s="105">
        <v>9.98</v>
      </c>
      <c r="Z273" s="73" t="s">
        <v>1249</v>
      </c>
      <c r="AA273" s="28">
        <v>0</v>
      </c>
    </row>
    <row r="274" spans="1:27" x14ac:dyDescent="0.25">
      <c r="A274" s="4"/>
      <c r="B274" s="98" t="s">
        <v>1262</v>
      </c>
      <c r="C274" s="75" t="s">
        <v>1255</v>
      </c>
      <c r="D274" s="28" t="s">
        <v>1237</v>
      </c>
      <c r="E274" s="28">
        <f t="shared" si="211"/>
        <v>92130</v>
      </c>
      <c r="F274" s="143" t="str">
        <f>INDEX(PV_Summary!$B$18:$B$118,MATCH($E274,PV_Summary!$A$18:$A$118,0))</f>
        <v>N</v>
      </c>
      <c r="G274" s="123">
        <v>32.949756999999998</v>
      </c>
      <c r="H274" s="61">
        <v>-117.233362</v>
      </c>
      <c r="I274" s="44" t="s">
        <v>3</v>
      </c>
      <c r="J274" s="46">
        <f t="shared" si="215"/>
        <v>0.75</v>
      </c>
      <c r="K274" s="100"/>
      <c r="L274" s="44" t="str">
        <f t="shared" si="216"/>
        <v/>
      </c>
      <c r="M274" s="46">
        <f t="shared" si="217"/>
        <v>0.75</v>
      </c>
      <c r="N274" s="46"/>
      <c r="O274" s="41">
        <f t="shared" si="144"/>
        <v>0</v>
      </c>
      <c r="P274" s="42">
        <v>13000</v>
      </c>
      <c r="Q274" s="44" t="s">
        <v>3</v>
      </c>
      <c r="R274" s="28" t="s">
        <v>55</v>
      </c>
      <c r="S274" s="48">
        <f t="shared" si="102"/>
        <v>91000</v>
      </c>
      <c r="T274" s="48">
        <f t="shared" si="206"/>
        <v>0</v>
      </c>
      <c r="W274" s="28">
        <v>830</v>
      </c>
      <c r="X274" s="105">
        <v>1.5</v>
      </c>
      <c r="Y274" s="105">
        <v>9.98</v>
      </c>
      <c r="Z274" s="73" t="s">
        <v>1249</v>
      </c>
      <c r="AA274" s="28">
        <v>0</v>
      </c>
    </row>
    <row r="275" spans="1:27" x14ac:dyDescent="0.25">
      <c r="A275" s="4"/>
      <c r="B275" s="98" t="s">
        <v>1263</v>
      </c>
      <c r="C275" s="75" t="s">
        <v>1255</v>
      </c>
      <c r="D275" s="28" t="s">
        <v>1237</v>
      </c>
      <c r="E275" s="28">
        <f t="shared" si="211"/>
        <v>92130</v>
      </c>
      <c r="F275" s="143" t="str">
        <f>INDEX(PV_Summary!$B$18:$B$118,MATCH($E275,PV_Summary!$A$18:$A$118,0))</f>
        <v>N</v>
      </c>
      <c r="G275" s="123">
        <v>32.951081000000002</v>
      </c>
      <c r="H275" s="61">
        <v>-117.23232</v>
      </c>
      <c r="I275" s="44" t="s">
        <v>3</v>
      </c>
      <c r="J275" s="46">
        <f t="shared" si="215"/>
        <v>0.75</v>
      </c>
      <c r="K275" s="100"/>
      <c r="L275" s="44" t="str">
        <f t="shared" si="216"/>
        <v/>
      </c>
      <c r="M275" s="46">
        <f t="shared" si="217"/>
        <v>0.75</v>
      </c>
      <c r="N275" s="46"/>
      <c r="O275" s="41">
        <f t="shared" si="144"/>
        <v>0</v>
      </c>
      <c r="P275" s="42">
        <v>47000</v>
      </c>
      <c r="Q275" s="44" t="s">
        <v>3</v>
      </c>
      <c r="R275" s="28" t="s">
        <v>55</v>
      </c>
      <c r="S275" s="48">
        <f t="shared" si="102"/>
        <v>329000</v>
      </c>
      <c r="T275" s="48">
        <f t="shared" si="206"/>
        <v>0</v>
      </c>
      <c r="W275" s="28">
        <v>830</v>
      </c>
      <c r="X275" s="105">
        <v>1.5</v>
      </c>
      <c r="Y275" s="105">
        <v>9.98</v>
      </c>
      <c r="Z275" s="73" t="s">
        <v>1249</v>
      </c>
      <c r="AA275" s="28">
        <v>0</v>
      </c>
    </row>
    <row r="276" spans="1:27" x14ac:dyDescent="0.25">
      <c r="A276" s="4"/>
      <c r="B276" s="62" t="s">
        <v>1265</v>
      </c>
      <c r="C276" s="75" t="s">
        <v>1264</v>
      </c>
      <c r="D276" s="28" t="s">
        <v>1237</v>
      </c>
      <c r="E276" s="28">
        <f t="shared" si="211"/>
        <v>92130</v>
      </c>
      <c r="F276" s="143" t="str">
        <f>INDEX(PV_Summary!$B$18:$B$118,MATCH($E276,PV_Summary!$A$18:$A$118,0))</f>
        <v>N</v>
      </c>
      <c r="G276" s="123">
        <v>32.958885000000002</v>
      </c>
      <c r="H276" s="61">
        <v>-117.227204</v>
      </c>
      <c r="I276" s="44" t="s">
        <v>63</v>
      </c>
      <c r="J276" s="46">
        <f t="shared" ca="1" si="215"/>
        <v>1</v>
      </c>
      <c r="K276" s="100"/>
      <c r="L276" s="44" t="str">
        <f t="shared" ca="1" si="216"/>
        <v/>
      </c>
      <c r="M276" s="46">
        <f t="shared" ca="1" si="217"/>
        <v>1</v>
      </c>
      <c r="N276" s="46"/>
      <c r="O276" s="41">
        <f t="shared" ca="1" si="144"/>
        <v>1</v>
      </c>
      <c r="P276" s="42">
        <v>350000</v>
      </c>
      <c r="Q276" s="44" t="s">
        <v>3</v>
      </c>
      <c r="R276" s="28" t="s">
        <v>55</v>
      </c>
      <c r="S276" s="48">
        <f t="shared" si="102"/>
        <v>2450000</v>
      </c>
      <c r="T276" s="48">
        <f t="shared" ca="1" si="206"/>
        <v>2450000</v>
      </c>
      <c r="W276" s="28">
        <v>831</v>
      </c>
      <c r="X276" s="105">
        <v>1.33</v>
      </c>
      <c r="Y276" s="105">
        <v>8.8800000000000008</v>
      </c>
      <c r="Z276" s="73" t="s">
        <v>1249</v>
      </c>
      <c r="AA276" s="28">
        <v>0</v>
      </c>
    </row>
    <row r="277" spans="1:27" x14ac:dyDescent="0.25">
      <c r="A277" s="4"/>
      <c r="B277" s="62" t="s">
        <v>1266</v>
      </c>
      <c r="C277" s="75" t="s">
        <v>1267</v>
      </c>
      <c r="D277" s="28" t="s">
        <v>1237</v>
      </c>
      <c r="E277" s="28">
        <f t="shared" si="211"/>
        <v>92130</v>
      </c>
      <c r="F277" s="143" t="str">
        <f>INDEX(PV_Summary!$B$18:$B$118,MATCH($E277,PV_Summary!$A$18:$A$118,0))</f>
        <v>N</v>
      </c>
      <c r="G277" s="123">
        <v>32.959659000000002</v>
      </c>
      <c r="H277" s="61">
        <v>-117.201821</v>
      </c>
      <c r="I277" s="44" t="s">
        <v>63</v>
      </c>
      <c r="J277" s="46">
        <f t="shared" ca="1" si="215"/>
        <v>1.5</v>
      </c>
      <c r="K277" s="100"/>
      <c r="L277" s="44" t="str">
        <f t="shared" ca="1" si="216"/>
        <v>Total</v>
      </c>
      <c r="M277" s="46">
        <f t="shared" ca="1" si="217"/>
        <v>1.25</v>
      </c>
      <c r="N277" s="46"/>
      <c r="O277" s="41">
        <f t="shared" ca="1" si="144"/>
        <v>6</v>
      </c>
      <c r="Q277" s="44"/>
      <c r="S277" s="48">
        <f t="shared" si="102"/>
        <v>0</v>
      </c>
      <c r="T277" s="48">
        <f t="shared" ca="1" si="206"/>
        <v>2506000</v>
      </c>
      <c r="W277" s="28">
        <v>832</v>
      </c>
      <c r="X277" s="105">
        <v>1.01</v>
      </c>
      <c r="Y277" s="105">
        <v>6.75</v>
      </c>
      <c r="Z277" s="73" t="s">
        <v>1249</v>
      </c>
      <c r="AA277" s="28"/>
    </row>
    <row r="278" spans="1:27" x14ac:dyDescent="0.25">
      <c r="A278" s="4"/>
      <c r="B278" s="98" t="s">
        <v>1268</v>
      </c>
      <c r="C278" s="75" t="s">
        <v>1267</v>
      </c>
      <c r="D278" s="28" t="s">
        <v>1237</v>
      </c>
      <c r="E278" s="28">
        <f t="shared" ref="E278:E283" si="218">RIGHT(TRIM(D278),5)*1</f>
        <v>92130</v>
      </c>
      <c r="F278" s="143" t="str">
        <f>INDEX(PV_Summary!$B$18:$B$118,MATCH($E278,PV_Summary!$A$18:$A$118,0))</f>
        <v>N</v>
      </c>
      <c r="G278" s="123">
        <v>32.961353000000003</v>
      </c>
      <c r="H278" s="61">
        <v>-117.20347700000001</v>
      </c>
      <c r="I278" s="44" t="s">
        <v>3</v>
      </c>
      <c r="J278" s="46">
        <f t="shared" si="215"/>
        <v>0.75</v>
      </c>
      <c r="K278" s="100"/>
      <c r="L278" s="44" t="str">
        <f t="shared" si="216"/>
        <v/>
      </c>
      <c r="M278" s="46">
        <f t="shared" si="217"/>
        <v>0.75</v>
      </c>
      <c r="N278" s="46"/>
      <c r="O278" s="41">
        <f t="shared" si="144"/>
        <v>0</v>
      </c>
      <c r="P278" s="42">
        <v>75000</v>
      </c>
      <c r="Q278" s="44" t="s">
        <v>3</v>
      </c>
      <c r="R278" s="28" t="s">
        <v>55</v>
      </c>
      <c r="S278" s="48">
        <f t="shared" si="102"/>
        <v>525000</v>
      </c>
      <c r="T278" s="48">
        <f t="shared" si="206"/>
        <v>0</v>
      </c>
      <c r="W278" s="28">
        <v>832</v>
      </c>
      <c r="X278" s="105">
        <v>1.01</v>
      </c>
      <c r="Y278" s="105">
        <v>6.75</v>
      </c>
      <c r="Z278" s="73" t="s">
        <v>1249</v>
      </c>
      <c r="AA278" s="28">
        <v>0</v>
      </c>
    </row>
    <row r="279" spans="1:27" x14ac:dyDescent="0.25">
      <c r="A279" s="4"/>
      <c r="B279" s="98" t="s">
        <v>1269</v>
      </c>
      <c r="C279" s="75" t="s">
        <v>1267</v>
      </c>
      <c r="D279" s="28" t="s">
        <v>1237</v>
      </c>
      <c r="E279" s="28">
        <f t="shared" si="218"/>
        <v>92130</v>
      </c>
      <c r="F279" s="143" t="str">
        <f>INDEX(PV_Summary!$B$18:$B$118,MATCH($E279,PV_Summary!$A$18:$A$118,0))</f>
        <v>N</v>
      </c>
      <c r="G279" s="123">
        <v>32.960861999999999</v>
      </c>
      <c r="H279" s="61">
        <v>-117.20206899999999</v>
      </c>
      <c r="I279" s="44" t="s">
        <v>3</v>
      </c>
      <c r="J279" s="46">
        <f t="shared" si="215"/>
        <v>0.75</v>
      </c>
      <c r="K279" s="100"/>
      <c r="L279" s="44" t="str">
        <f t="shared" si="216"/>
        <v/>
      </c>
      <c r="M279" s="46">
        <f t="shared" si="217"/>
        <v>0.75</v>
      </c>
      <c r="N279" s="46"/>
      <c r="O279" s="41">
        <f t="shared" ref="O279:O346" si="219">IF($C279=$C278,0,COUNTIFS(Address,$C279))</f>
        <v>0</v>
      </c>
      <c r="P279" s="42">
        <v>104000</v>
      </c>
      <c r="Q279" s="44" t="s">
        <v>3</v>
      </c>
      <c r="R279" s="28" t="s">
        <v>55</v>
      </c>
      <c r="S279" s="48">
        <f t="shared" si="102"/>
        <v>728000</v>
      </c>
      <c r="T279" s="48">
        <f t="shared" si="206"/>
        <v>0</v>
      </c>
      <c r="W279" s="28">
        <v>832</v>
      </c>
      <c r="X279" s="105">
        <v>1.01</v>
      </c>
      <c r="Y279" s="105">
        <v>6.75</v>
      </c>
      <c r="Z279" s="73" t="s">
        <v>1249</v>
      </c>
      <c r="AA279" s="28">
        <v>0</v>
      </c>
    </row>
    <row r="280" spans="1:27" x14ac:dyDescent="0.25">
      <c r="A280" s="4"/>
      <c r="B280" s="98" t="s">
        <v>1270</v>
      </c>
      <c r="C280" s="75" t="s">
        <v>1267</v>
      </c>
      <c r="D280" s="28" t="s">
        <v>1237</v>
      </c>
      <c r="E280" s="28">
        <f t="shared" si="218"/>
        <v>92130</v>
      </c>
      <c r="F280" s="143" t="str">
        <f>INDEX(PV_Summary!$B$18:$B$118,MATCH($E280,PV_Summary!$A$18:$A$118,0))</f>
        <v>N</v>
      </c>
      <c r="G280" s="123">
        <v>32.960661000000002</v>
      </c>
      <c r="H280" s="61">
        <v>-117.19996500000001</v>
      </c>
      <c r="I280" s="44" t="s">
        <v>3</v>
      </c>
      <c r="J280" s="46">
        <f t="shared" si="215"/>
        <v>0.75</v>
      </c>
      <c r="K280" s="100"/>
      <c r="L280" s="44" t="str">
        <f t="shared" si="216"/>
        <v/>
      </c>
      <c r="M280" s="46">
        <f t="shared" si="217"/>
        <v>0.75</v>
      </c>
      <c r="N280" s="46"/>
      <c r="O280" s="41">
        <f t="shared" si="219"/>
        <v>0</v>
      </c>
      <c r="P280" s="42">
        <v>50000</v>
      </c>
      <c r="Q280" s="44" t="s">
        <v>3</v>
      </c>
      <c r="R280" s="28" t="s">
        <v>55</v>
      </c>
      <c r="S280" s="48">
        <f t="shared" si="102"/>
        <v>350000</v>
      </c>
      <c r="T280" s="48">
        <f t="shared" si="206"/>
        <v>0</v>
      </c>
      <c r="W280" s="28">
        <v>832</v>
      </c>
      <c r="X280" s="105">
        <v>1.01</v>
      </c>
      <c r="Y280" s="105">
        <v>6.75</v>
      </c>
      <c r="Z280" s="73" t="s">
        <v>1249</v>
      </c>
      <c r="AA280" s="28">
        <v>0</v>
      </c>
    </row>
    <row r="281" spans="1:27" x14ac:dyDescent="0.25">
      <c r="A281" s="4"/>
      <c r="B281" s="98" t="s">
        <v>1271</v>
      </c>
      <c r="C281" s="75" t="s">
        <v>1267</v>
      </c>
      <c r="D281" s="28" t="s">
        <v>1237</v>
      </c>
      <c r="E281" s="28">
        <f t="shared" si="218"/>
        <v>92130</v>
      </c>
      <c r="F281" s="143" t="str">
        <f>INDEX(PV_Summary!$B$18:$B$118,MATCH($E281,PV_Summary!$A$18:$A$118,0))</f>
        <v>N</v>
      </c>
      <c r="G281" s="123">
        <v>32.960538999999997</v>
      </c>
      <c r="H281" s="61">
        <v>-117.198358</v>
      </c>
      <c r="I281" s="44" t="s">
        <v>3</v>
      </c>
      <c r="J281" s="46">
        <f t="shared" si="215"/>
        <v>0.75</v>
      </c>
      <c r="K281" s="100"/>
      <c r="L281" s="44" t="str">
        <f t="shared" si="216"/>
        <v/>
      </c>
      <c r="M281" s="46">
        <f t="shared" si="217"/>
        <v>0.75</v>
      </c>
      <c r="N281" s="46"/>
      <c r="O281" s="41">
        <f t="shared" si="219"/>
        <v>0</v>
      </c>
      <c r="P281" s="42">
        <v>25000</v>
      </c>
      <c r="Q281" s="44" t="s">
        <v>3</v>
      </c>
      <c r="R281" s="28" t="s">
        <v>55</v>
      </c>
      <c r="S281" s="48">
        <f t="shared" si="102"/>
        <v>175000</v>
      </c>
      <c r="T281" s="48">
        <f t="shared" si="206"/>
        <v>0</v>
      </c>
      <c r="W281" s="28">
        <v>832</v>
      </c>
      <c r="X281" s="105">
        <v>1.01</v>
      </c>
      <c r="Y281" s="105">
        <v>6.75</v>
      </c>
      <c r="Z281" s="73" t="s">
        <v>1249</v>
      </c>
      <c r="AA281" s="28">
        <v>0</v>
      </c>
    </row>
    <row r="282" spans="1:27" x14ac:dyDescent="0.25">
      <c r="A282" s="4"/>
      <c r="B282" s="98" t="s">
        <v>1272</v>
      </c>
      <c r="C282" s="75" t="s">
        <v>1267</v>
      </c>
      <c r="D282" s="28" t="s">
        <v>1237</v>
      </c>
      <c r="E282" s="28">
        <f t="shared" si="218"/>
        <v>92130</v>
      </c>
      <c r="F282" s="143" t="str">
        <f>INDEX(PV_Summary!$B$18:$B$118,MATCH($E282,PV_Summary!$A$18:$A$118,0))</f>
        <v>N</v>
      </c>
      <c r="G282" s="123">
        <v>32.958722000000002</v>
      </c>
      <c r="H282" s="61">
        <v>-117.199321</v>
      </c>
      <c r="I282" s="44" t="s">
        <v>3</v>
      </c>
      <c r="J282" s="46">
        <f t="shared" si="215"/>
        <v>0.75</v>
      </c>
      <c r="K282" s="100"/>
      <c r="L282" s="44" t="str">
        <f t="shared" si="216"/>
        <v/>
      </c>
      <c r="M282" s="46">
        <f t="shared" si="217"/>
        <v>0.75</v>
      </c>
      <c r="N282" s="46"/>
      <c r="O282" s="41">
        <f t="shared" si="219"/>
        <v>0</v>
      </c>
      <c r="P282" s="42">
        <v>104000</v>
      </c>
      <c r="Q282" s="44" t="s">
        <v>3</v>
      </c>
      <c r="R282" s="28" t="s">
        <v>55</v>
      </c>
      <c r="S282" s="48">
        <f t="shared" si="102"/>
        <v>728000</v>
      </c>
      <c r="T282" s="48">
        <f t="shared" si="206"/>
        <v>0</v>
      </c>
      <c r="W282" s="28">
        <v>832</v>
      </c>
      <c r="X282" s="105">
        <v>1.01</v>
      </c>
      <c r="Y282" s="105">
        <v>6.75</v>
      </c>
      <c r="Z282" s="73" t="s">
        <v>1249</v>
      </c>
      <c r="AA282" s="28">
        <v>50</v>
      </c>
    </row>
    <row r="283" spans="1:27" x14ac:dyDescent="0.25">
      <c r="A283" s="4"/>
      <c r="B283" s="62" t="s">
        <v>1273</v>
      </c>
      <c r="C283" s="75" t="s">
        <v>1274</v>
      </c>
      <c r="D283" s="28" t="s">
        <v>1275</v>
      </c>
      <c r="E283" s="28">
        <f t="shared" si="218"/>
        <v>92129</v>
      </c>
      <c r="F283" s="143" t="str">
        <f>INDEX(PV_Summary!$B$18:$B$118,MATCH($E283,PV_Summary!$A$18:$A$118,0))</f>
        <v>N</v>
      </c>
      <c r="G283" s="123">
        <v>32.967170000000003</v>
      </c>
      <c r="H283" s="61">
        <v>-117.14935199999999</v>
      </c>
      <c r="I283" s="44" t="s">
        <v>63</v>
      </c>
      <c r="J283" s="46">
        <f t="shared" ref="J283:J285" ca="1" si="220">IF(O283&gt;1,Sym_Scl_Aggr_Parent,IF(O283&lt;1,Sym_Scl_Aggr_Child,Sym_Scl_Normal))</f>
        <v>1.5</v>
      </c>
      <c r="K283" s="100"/>
      <c r="L283" s="44" t="str">
        <f t="shared" ref="L283:L285" ca="1" si="221">IF(O283&gt;1,"Total","")</f>
        <v>Total</v>
      </c>
      <c r="M283" s="46">
        <f t="shared" ref="M283:M285" ca="1" si="222">IF(O283&gt;1,Label_Scl_Aggr_Parent,IF(O283&lt;1,Label_Scl_Aggr_Child,Label_Scl_Normal))</f>
        <v>1.25</v>
      </c>
      <c r="N283" s="46"/>
      <c r="O283" s="41">
        <f t="shared" ca="1" si="219"/>
        <v>3</v>
      </c>
      <c r="Q283" s="44"/>
      <c r="S283" s="48">
        <f t="shared" si="102"/>
        <v>0</v>
      </c>
      <c r="T283" s="48">
        <f t="shared" ca="1" si="206"/>
        <v>1764000</v>
      </c>
      <c r="W283" s="28">
        <v>1102</v>
      </c>
      <c r="X283" s="105">
        <v>1.23</v>
      </c>
      <c r="Y283" s="105">
        <v>8.17</v>
      </c>
      <c r="Z283" s="73" t="s">
        <v>1239</v>
      </c>
      <c r="AA283" s="28"/>
    </row>
    <row r="284" spans="1:27" x14ac:dyDescent="0.25">
      <c r="A284" s="4"/>
      <c r="B284" s="98" t="s">
        <v>1276</v>
      </c>
      <c r="C284" s="75" t="s">
        <v>1274</v>
      </c>
      <c r="D284" s="28" t="s">
        <v>1275</v>
      </c>
      <c r="E284" s="28">
        <f t="shared" ref="E284:E288" si="223">RIGHT(TRIM(D284),5)*1</f>
        <v>92129</v>
      </c>
      <c r="F284" s="143" t="str">
        <f>INDEX(PV_Summary!$B$18:$B$118,MATCH($E284,PV_Summary!$A$18:$A$118,0))</f>
        <v>N</v>
      </c>
      <c r="G284" s="123">
        <v>32.967706999999997</v>
      </c>
      <c r="H284" s="61">
        <v>-117.147418</v>
      </c>
      <c r="I284" s="44" t="s">
        <v>3</v>
      </c>
      <c r="J284" s="46">
        <f t="shared" si="220"/>
        <v>0.75</v>
      </c>
      <c r="K284" s="100"/>
      <c r="L284" s="44" t="str">
        <f t="shared" si="221"/>
        <v/>
      </c>
      <c r="M284" s="46">
        <f t="shared" si="222"/>
        <v>0.75</v>
      </c>
      <c r="N284" s="46"/>
      <c r="O284" s="41">
        <f t="shared" si="219"/>
        <v>0</v>
      </c>
      <c r="P284" s="42">
        <v>101000</v>
      </c>
      <c r="Q284" s="44" t="s">
        <v>3</v>
      </c>
      <c r="R284" s="28" t="s">
        <v>55</v>
      </c>
      <c r="S284" s="48">
        <f t="shared" si="102"/>
        <v>707000</v>
      </c>
      <c r="T284" s="48">
        <f t="shared" si="206"/>
        <v>0</v>
      </c>
      <c r="W284" s="28">
        <v>1102</v>
      </c>
      <c r="X284" s="105">
        <v>1.23</v>
      </c>
      <c r="Y284" s="105">
        <v>8.17</v>
      </c>
      <c r="Z284" s="73" t="s">
        <v>1239</v>
      </c>
      <c r="AA284" s="28">
        <v>50</v>
      </c>
    </row>
    <row r="285" spans="1:27" x14ac:dyDescent="0.25">
      <c r="A285" s="4"/>
      <c r="B285" s="98" t="s">
        <v>1277</v>
      </c>
      <c r="C285" s="75" t="s">
        <v>1274</v>
      </c>
      <c r="D285" s="28" t="s">
        <v>1275</v>
      </c>
      <c r="E285" s="28">
        <f t="shared" si="223"/>
        <v>92129</v>
      </c>
      <c r="F285" s="143" t="str">
        <f>INDEX(PV_Summary!$B$18:$B$118,MATCH($E285,PV_Summary!$A$18:$A$118,0))</f>
        <v>N</v>
      </c>
      <c r="G285" s="123">
        <v>32.966009</v>
      </c>
      <c r="H285" s="61">
        <v>-117.14801</v>
      </c>
      <c r="I285" s="44" t="s">
        <v>3</v>
      </c>
      <c r="J285" s="46">
        <f t="shared" si="220"/>
        <v>0.75</v>
      </c>
      <c r="K285" s="100"/>
      <c r="L285" s="44" t="str">
        <f t="shared" si="221"/>
        <v/>
      </c>
      <c r="M285" s="46">
        <f t="shared" si="222"/>
        <v>0.75</v>
      </c>
      <c r="N285" s="46"/>
      <c r="O285" s="41">
        <f t="shared" si="219"/>
        <v>0</v>
      </c>
      <c r="P285" s="42">
        <v>151000</v>
      </c>
      <c r="Q285" s="44" t="s">
        <v>3</v>
      </c>
      <c r="R285" s="28" t="s">
        <v>55</v>
      </c>
      <c r="S285" s="48">
        <f t="shared" si="102"/>
        <v>1057000</v>
      </c>
      <c r="T285" s="48">
        <f t="shared" si="206"/>
        <v>0</v>
      </c>
      <c r="W285" s="28">
        <v>1102</v>
      </c>
      <c r="X285" s="105">
        <v>1.23</v>
      </c>
      <c r="Y285" s="105">
        <v>8.17</v>
      </c>
      <c r="Z285" s="73" t="s">
        <v>1239</v>
      </c>
      <c r="AA285" s="28">
        <v>0</v>
      </c>
    </row>
    <row r="286" spans="1:27" x14ac:dyDescent="0.25">
      <c r="A286" s="4"/>
      <c r="B286" s="62" t="s">
        <v>1278</v>
      </c>
      <c r="C286" s="75" t="s">
        <v>1279</v>
      </c>
      <c r="D286" s="28" t="s">
        <v>1275</v>
      </c>
      <c r="E286" s="28">
        <f t="shared" si="223"/>
        <v>92129</v>
      </c>
      <c r="F286" s="143" t="str">
        <f>INDEX(PV_Summary!$B$18:$B$118,MATCH($E286,PV_Summary!$A$18:$A$118,0))</f>
        <v>N</v>
      </c>
      <c r="G286" s="123">
        <v>32.985398000000004</v>
      </c>
      <c r="H286" s="61">
        <v>-117.12731100000001</v>
      </c>
      <c r="I286" s="44" t="s">
        <v>304</v>
      </c>
      <c r="J286" s="46">
        <f t="shared" ref="J286" ca="1" si="224">IF(O286&gt;1,Sym_Scl_Aggr_Parent,IF(O286&lt;1,Sym_Scl_Aggr_Child,Sym_Scl_Normal))</f>
        <v>1</v>
      </c>
      <c r="K286" s="100"/>
      <c r="L286" s="44" t="str">
        <f t="shared" ref="L286" ca="1" si="225">IF(O286&gt;1,"Total","")</f>
        <v/>
      </c>
      <c r="M286" s="46">
        <f t="shared" ref="M286" ca="1" si="226">IF(O286&gt;1,Label_Scl_Aggr_Parent,IF(O286&lt;1,Label_Scl_Aggr_Child,Label_Scl_Normal))</f>
        <v>1</v>
      </c>
      <c r="N286" s="46"/>
      <c r="O286" s="41">
        <f t="shared" ca="1" si="219"/>
        <v>1</v>
      </c>
      <c r="P286" s="42">
        <v>160000</v>
      </c>
      <c r="Q286" s="44" t="s">
        <v>3</v>
      </c>
      <c r="R286" s="28" t="s">
        <v>55</v>
      </c>
      <c r="S286" s="48">
        <f t="shared" si="102"/>
        <v>1120000</v>
      </c>
      <c r="T286" s="48">
        <f t="shared" ca="1" si="206"/>
        <v>1120000</v>
      </c>
      <c r="W286" s="28">
        <v>500</v>
      </c>
      <c r="X286" s="105">
        <v>1.04</v>
      </c>
      <c r="Y286" s="105">
        <v>6.91</v>
      </c>
      <c r="Z286" s="73" t="s">
        <v>1357</v>
      </c>
      <c r="AA286" s="28">
        <v>0</v>
      </c>
    </row>
    <row r="287" spans="1:27" x14ac:dyDescent="0.25">
      <c r="A287" s="4"/>
      <c r="B287" s="62" t="s">
        <v>1495</v>
      </c>
      <c r="C287" s="75" t="s">
        <v>1280</v>
      </c>
      <c r="D287" s="28" t="s">
        <v>1275</v>
      </c>
      <c r="E287" s="28">
        <f t="shared" si="223"/>
        <v>92129</v>
      </c>
      <c r="F287" s="143" t="str">
        <f>INDEX(PV_Summary!$B$18:$B$118,MATCH($E287,PV_Summary!$A$18:$A$118,0))</f>
        <v>N</v>
      </c>
      <c r="G287" s="123">
        <v>32.967370000000003</v>
      </c>
      <c r="H287" s="61">
        <v>-117.119721</v>
      </c>
      <c r="I287" s="44" t="s">
        <v>63</v>
      </c>
      <c r="J287" s="46">
        <f t="shared" ref="J287" ca="1" si="227">IF(O287&gt;1,Sym_Scl_Aggr_Parent,IF(O287&lt;1,Sym_Scl_Aggr_Child,Sym_Scl_Normal))</f>
        <v>1</v>
      </c>
      <c r="K287" s="100"/>
      <c r="L287" s="44" t="str">
        <f t="shared" ref="L287" ca="1" si="228">IF(O287&gt;1,"Total","")</f>
        <v/>
      </c>
      <c r="M287" s="46">
        <f t="shared" ref="M287" ca="1" si="229">IF(O287&gt;1,Label_Scl_Aggr_Parent,IF(O287&lt;1,Label_Scl_Aggr_Child,Label_Scl_Normal))</f>
        <v>1</v>
      </c>
      <c r="N287" s="46"/>
      <c r="O287" s="41">
        <f t="shared" ca="1" si="219"/>
        <v>1</v>
      </c>
      <c r="P287" s="42">
        <v>187000</v>
      </c>
      <c r="Q287" s="44" t="s">
        <v>3</v>
      </c>
      <c r="R287" s="28" t="s">
        <v>55</v>
      </c>
      <c r="S287" s="48">
        <f t="shared" si="102"/>
        <v>1309000</v>
      </c>
      <c r="T287" s="48">
        <f t="shared" ca="1" si="206"/>
        <v>1309000</v>
      </c>
      <c r="W287" s="28">
        <v>500</v>
      </c>
      <c r="X287" s="105">
        <v>1.04</v>
      </c>
      <c r="Y287" s="105">
        <v>6.91</v>
      </c>
      <c r="Z287" s="73" t="s">
        <v>1357</v>
      </c>
      <c r="AA287" s="28">
        <v>0</v>
      </c>
    </row>
    <row r="288" spans="1:27" x14ac:dyDescent="0.25">
      <c r="A288" s="4"/>
      <c r="B288" s="62" t="s">
        <v>1496</v>
      </c>
      <c r="C288" s="75" t="s">
        <v>1497</v>
      </c>
      <c r="D288" s="28" t="s">
        <v>1275</v>
      </c>
      <c r="E288" s="28">
        <f t="shared" si="223"/>
        <v>92129</v>
      </c>
      <c r="F288" s="143" t="str">
        <f>INDEX(PV_Summary!$B$18:$B$118,MATCH($E288,PV_Summary!$A$18:$A$118,0))</f>
        <v>N</v>
      </c>
      <c r="G288" s="123">
        <v>32.957729</v>
      </c>
      <c r="H288" s="61">
        <v>-117.12648799999999</v>
      </c>
      <c r="I288" s="44" t="s">
        <v>62</v>
      </c>
      <c r="J288" s="46">
        <f t="shared" ref="J288:J292" ca="1" si="230">IF(O288&gt;1,Sym_Scl_Aggr_Parent,IF(O288&lt;1,Sym_Scl_Aggr_Child,Sym_Scl_Normal))</f>
        <v>1.5</v>
      </c>
      <c r="K288" s="100"/>
      <c r="L288" s="44" t="str">
        <f t="shared" ref="L288:L292" ca="1" si="231">IF(O288&gt;1,"Total","")</f>
        <v>Total</v>
      </c>
      <c r="M288" s="46">
        <f t="shared" ref="M288:M292" ca="1" si="232">IF(O288&gt;1,Label_Scl_Aggr_Parent,IF(O288&lt;1,Label_Scl_Aggr_Child,Label_Scl_Normal))</f>
        <v>1.25</v>
      </c>
      <c r="N288" s="46"/>
      <c r="O288" s="41">
        <f t="shared" ca="1" si="219"/>
        <v>4</v>
      </c>
      <c r="Q288" s="44"/>
      <c r="S288" s="48">
        <f t="shared" si="102"/>
        <v>0</v>
      </c>
      <c r="T288" s="48">
        <f t="shared" ca="1" si="206"/>
        <v>1085000</v>
      </c>
      <c r="W288" s="28">
        <v>910</v>
      </c>
      <c r="X288" s="105">
        <v>1.08</v>
      </c>
      <c r="Y288" s="105">
        <v>7.19</v>
      </c>
      <c r="Z288" s="73" t="s">
        <v>1357</v>
      </c>
      <c r="AA288" s="28"/>
    </row>
    <row r="289" spans="1:27" x14ac:dyDescent="0.25">
      <c r="A289" s="4"/>
      <c r="B289" s="98" t="s">
        <v>1498</v>
      </c>
      <c r="C289" s="75" t="s">
        <v>1497</v>
      </c>
      <c r="D289" s="28" t="s">
        <v>1275</v>
      </c>
      <c r="E289" s="28">
        <f t="shared" ref="E289:E291" si="233">RIGHT(TRIM(D289),5)*1</f>
        <v>92129</v>
      </c>
      <c r="F289" s="143" t="str">
        <f>INDEX(PV_Summary!$B$18:$B$118,MATCH($E289,PV_Summary!$A$18:$A$118,0))</f>
        <v>N</v>
      </c>
      <c r="G289" s="123">
        <v>32.957160000000002</v>
      </c>
      <c r="H289" s="61">
        <v>-117.126808</v>
      </c>
      <c r="I289" s="44" t="s">
        <v>3</v>
      </c>
      <c r="J289" s="46">
        <f t="shared" si="230"/>
        <v>0.75</v>
      </c>
      <c r="K289" s="100"/>
      <c r="L289" s="44" t="str">
        <f t="shared" si="231"/>
        <v/>
      </c>
      <c r="M289" s="46">
        <f t="shared" si="232"/>
        <v>0.75</v>
      </c>
      <c r="N289" s="46"/>
      <c r="O289" s="41">
        <f t="shared" si="219"/>
        <v>0</v>
      </c>
      <c r="P289" s="42">
        <v>66000</v>
      </c>
      <c r="Q289" s="44" t="s">
        <v>3</v>
      </c>
      <c r="R289" s="28" t="s">
        <v>55</v>
      </c>
      <c r="S289" s="48">
        <f t="shared" si="102"/>
        <v>462000</v>
      </c>
      <c r="T289" s="48">
        <f t="shared" si="206"/>
        <v>0</v>
      </c>
      <c r="W289" s="28">
        <v>910</v>
      </c>
      <c r="X289" s="105">
        <v>1.08</v>
      </c>
      <c r="Y289" s="105">
        <v>7.19</v>
      </c>
      <c r="Z289" s="73" t="s">
        <v>1357</v>
      </c>
      <c r="AA289" s="28">
        <v>0</v>
      </c>
    </row>
    <row r="290" spans="1:27" x14ac:dyDescent="0.25">
      <c r="A290" s="4"/>
      <c r="B290" s="98" t="s">
        <v>1499</v>
      </c>
      <c r="C290" s="75" t="s">
        <v>1497</v>
      </c>
      <c r="D290" s="28" t="s">
        <v>1275</v>
      </c>
      <c r="E290" s="28">
        <f t="shared" si="233"/>
        <v>92129</v>
      </c>
      <c r="F290" s="143" t="str">
        <f>INDEX(PV_Summary!$B$18:$B$118,MATCH($E290,PV_Summary!$A$18:$A$118,0))</f>
        <v>N</v>
      </c>
      <c r="G290" s="123">
        <v>32.958362999999999</v>
      </c>
      <c r="H290" s="61">
        <v>-117.125772</v>
      </c>
      <c r="I290" s="44" t="s">
        <v>3</v>
      </c>
      <c r="J290" s="46">
        <f t="shared" si="230"/>
        <v>0.75</v>
      </c>
      <c r="K290" s="100"/>
      <c r="L290" s="44" t="str">
        <f t="shared" si="231"/>
        <v/>
      </c>
      <c r="M290" s="46">
        <f t="shared" si="232"/>
        <v>0.75</v>
      </c>
      <c r="N290" s="46"/>
      <c r="O290" s="41">
        <f t="shared" si="219"/>
        <v>0</v>
      </c>
      <c r="P290" s="42">
        <v>59000</v>
      </c>
      <c r="Q290" s="44" t="s">
        <v>3</v>
      </c>
      <c r="R290" s="28" t="s">
        <v>55</v>
      </c>
      <c r="S290" s="48">
        <f t="shared" si="102"/>
        <v>413000</v>
      </c>
      <c r="T290" s="48">
        <f t="shared" si="206"/>
        <v>0</v>
      </c>
      <c r="W290" s="28">
        <v>910</v>
      </c>
      <c r="X290" s="105">
        <v>1.08</v>
      </c>
      <c r="Y290" s="105">
        <v>7.19</v>
      </c>
      <c r="Z290" s="73" t="s">
        <v>1357</v>
      </c>
      <c r="AA290" s="28">
        <v>0</v>
      </c>
    </row>
    <row r="291" spans="1:27" x14ac:dyDescent="0.25">
      <c r="A291" s="4"/>
      <c r="B291" s="98" t="s">
        <v>1500</v>
      </c>
      <c r="C291" s="75" t="s">
        <v>1497</v>
      </c>
      <c r="D291" s="28" t="s">
        <v>1275</v>
      </c>
      <c r="E291" s="28">
        <f t="shared" si="233"/>
        <v>92129</v>
      </c>
      <c r="F291" s="143" t="str">
        <f>INDEX(PV_Summary!$B$18:$B$118,MATCH($E291,PV_Summary!$A$18:$A$118,0))</f>
        <v>N</v>
      </c>
      <c r="G291" s="123">
        <v>32.957996999999999</v>
      </c>
      <c r="H291" s="61">
        <v>-117.125089</v>
      </c>
      <c r="I291" s="44" t="s">
        <v>37</v>
      </c>
      <c r="J291" s="46">
        <f t="shared" si="230"/>
        <v>0.75</v>
      </c>
      <c r="K291" s="100"/>
      <c r="L291" s="44" t="str">
        <f t="shared" si="231"/>
        <v/>
      </c>
      <c r="M291" s="46">
        <f t="shared" si="232"/>
        <v>0.75</v>
      </c>
      <c r="N291" s="46"/>
      <c r="O291" s="41">
        <f t="shared" si="219"/>
        <v>0</v>
      </c>
      <c r="P291" s="42">
        <v>30000</v>
      </c>
      <c r="Q291" s="44" t="s">
        <v>37</v>
      </c>
      <c r="R291" s="28" t="s">
        <v>55</v>
      </c>
      <c r="S291" s="48">
        <f t="shared" si="102"/>
        <v>210000</v>
      </c>
      <c r="T291" s="48">
        <f t="shared" si="206"/>
        <v>0</v>
      </c>
      <c r="W291" s="28">
        <v>910</v>
      </c>
      <c r="X291" s="105">
        <v>1.08</v>
      </c>
      <c r="Y291" s="105">
        <v>7.19</v>
      </c>
      <c r="Z291" s="73" t="s">
        <v>1357</v>
      </c>
      <c r="AA291" s="28">
        <v>100</v>
      </c>
    </row>
    <row r="292" spans="1:27" x14ac:dyDescent="0.25">
      <c r="A292" s="4"/>
      <c r="B292" s="28" t="s">
        <v>677</v>
      </c>
      <c r="C292" s="75" t="s">
        <v>678</v>
      </c>
      <c r="D292" s="28" t="s">
        <v>679</v>
      </c>
      <c r="E292" s="28">
        <f t="shared" si="211"/>
        <v>92037</v>
      </c>
      <c r="F292" s="143" t="str">
        <f>INDEX(PV_Summary!$B$18:$B$118,MATCH($E292,PV_Summary!$A$18:$A$118,0))</f>
        <v>S</v>
      </c>
      <c r="G292" s="123">
        <v>32.905391000000002</v>
      </c>
      <c r="H292" s="61">
        <v>-117.24413199999999</v>
      </c>
      <c r="I292" s="44" t="s">
        <v>3</v>
      </c>
      <c r="J292" s="46">
        <f t="shared" ca="1" si="230"/>
        <v>1</v>
      </c>
      <c r="K292" s="100"/>
      <c r="L292" s="44" t="str">
        <f t="shared" ca="1" si="231"/>
        <v/>
      </c>
      <c r="M292" s="46">
        <f t="shared" ca="1" si="232"/>
        <v>1</v>
      </c>
      <c r="N292" s="46"/>
      <c r="O292" s="41">
        <f t="shared" ca="1" si="219"/>
        <v>1</v>
      </c>
      <c r="P292" s="42">
        <v>126000</v>
      </c>
      <c r="Q292" s="44" t="s">
        <v>3</v>
      </c>
      <c r="R292" s="28" t="s">
        <v>55</v>
      </c>
      <c r="S292" s="48">
        <f t="shared" si="102"/>
        <v>882000</v>
      </c>
      <c r="T292" s="48">
        <f t="shared" ca="1" si="206"/>
        <v>882000</v>
      </c>
      <c r="W292" s="28">
        <v>735</v>
      </c>
      <c r="X292" s="105">
        <v>1.5</v>
      </c>
      <c r="Y292" s="105">
        <v>10</v>
      </c>
      <c r="Z292" s="73" t="s">
        <v>469</v>
      </c>
      <c r="AA292" s="28">
        <v>0</v>
      </c>
    </row>
    <row r="293" spans="1:27" x14ac:dyDescent="0.25">
      <c r="A293" s="4"/>
      <c r="B293" s="28" t="s">
        <v>1282</v>
      </c>
      <c r="C293" s="75" t="s">
        <v>1281</v>
      </c>
      <c r="D293" s="28" t="s">
        <v>1242</v>
      </c>
      <c r="E293" s="28">
        <f t="shared" si="211"/>
        <v>92121</v>
      </c>
      <c r="F293" s="143" t="str">
        <f>INDEX(PV_Summary!$B$18:$B$118,MATCH($E293,PV_Summary!$A$18:$A$118,0))</f>
        <v>N</v>
      </c>
      <c r="G293" s="123">
        <v>32.896659999999997</v>
      </c>
      <c r="H293" s="61">
        <v>-117.240979</v>
      </c>
      <c r="I293" s="44" t="s">
        <v>69</v>
      </c>
      <c r="J293" s="46">
        <f t="shared" ref="J293:J295" ca="1" si="234">IF(O293&gt;1,Sym_Scl_Aggr_Parent,IF(O293&lt;1,Sym_Scl_Aggr_Child,Sym_Scl_Normal))</f>
        <v>1.5</v>
      </c>
      <c r="K293" s="100"/>
      <c r="L293" s="44" t="str">
        <f t="shared" ref="L293:L295" ca="1" si="235">IF(O293&gt;1,"Total","")</f>
        <v>Total</v>
      </c>
      <c r="M293" s="46">
        <f t="shared" ref="M293:M295" ca="1" si="236">IF(O293&gt;1,Label_Scl_Aggr_Parent,IF(O293&lt;1,Label_Scl_Aggr_Child,Label_Scl_Normal))</f>
        <v>1.25</v>
      </c>
      <c r="N293" s="46"/>
      <c r="O293" s="41">
        <f t="shared" ca="1" si="219"/>
        <v>4</v>
      </c>
      <c r="Q293" s="44"/>
      <c r="S293" s="48">
        <f t="shared" si="102"/>
        <v>0</v>
      </c>
      <c r="T293" s="48">
        <f t="shared" ca="1" si="206"/>
        <v>1190000</v>
      </c>
      <c r="W293" s="28">
        <v>737</v>
      </c>
      <c r="X293" s="105">
        <v>1.5</v>
      </c>
      <c r="Y293" s="105">
        <v>10</v>
      </c>
      <c r="Z293" s="73" t="s">
        <v>469</v>
      </c>
      <c r="AA293" s="28"/>
    </row>
    <row r="294" spans="1:27" x14ac:dyDescent="0.25">
      <c r="A294" s="4"/>
      <c r="B294" s="98" t="s">
        <v>1283</v>
      </c>
      <c r="C294" s="75" t="s">
        <v>1281</v>
      </c>
      <c r="D294" s="28" t="s">
        <v>1242</v>
      </c>
      <c r="E294" s="28">
        <f t="shared" ref="E294:E298" si="237">RIGHT(TRIM(D294),5)*1</f>
        <v>92121</v>
      </c>
      <c r="F294" s="143" t="str">
        <f>INDEX(PV_Summary!$B$18:$B$118,MATCH($E294,PV_Summary!$A$18:$A$118,0))</f>
        <v>N</v>
      </c>
      <c r="G294" s="123">
        <v>32.897519000000003</v>
      </c>
      <c r="H294" s="61">
        <v>-117.24122</v>
      </c>
      <c r="I294" s="44" t="s">
        <v>3</v>
      </c>
      <c r="J294" s="46">
        <f t="shared" si="234"/>
        <v>0.75</v>
      </c>
      <c r="K294" s="100"/>
      <c r="L294" s="44" t="str">
        <f t="shared" si="235"/>
        <v/>
      </c>
      <c r="M294" s="46">
        <f t="shared" si="236"/>
        <v>0.75</v>
      </c>
      <c r="N294" s="46"/>
      <c r="O294" s="41">
        <f t="shared" si="219"/>
        <v>0</v>
      </c>
      <c r="P294" s="42">
        <v>53000</v>
      </c>
      <c r="Q294" s="44" t="s">
        <v>3</v>
      </c>
      <c r="R294" s="28" t="s">
        <v>55</v>
      </c>
      <c r="S294" s="48">
        <f t="shared" ref="S294:S310" si="238">IF(ISNUMBER(FIND("Existing",$Q294)),0,IF($P294=0,0,INDEX(PV_W_Type_Rating_Tbl,MATCH($Q294,PV_Type_List,0),MATCH($R294,Rating_List,0)+4*DC_AC_Num)*$P294))</f>
        <v>371000</v>
      </c>
      <c r="T294" s="48">
        <f t="shared" si="206"/>
        <v>0</v>
      </c>
      <c r="W294" s="28">
        <v>737</v>
      </c>
      <c r="X294" s="105">
        <v>1.5</v>
      </c>
      <c r="Y294" s="105">
        <v>10</v>
      </c>
      <c r="Z294" s="73" t="s">
        <v>469</v>
      </c>
      <c r="AA294" s="28">
        <v>200</v>
      </c>
    </row>
    <row r="295" spans="1:27" x14ac:dyDescent="0.25">
      <c r="A295" s="4"/>
      <c r="B295" s="98" t="s">
        <v>1284</v>
      </c>
      <c r="C295" s="75" t="s">
        <v>1281</v>
      </c>
      <c r="D295" s="28" t="s">
        <v>1242</v>
      </c>
      <c r="E295" s="28">
        <f t="shared" si="237"/>
        <v>92121</v>
      </c>
      <c r="F295" s="143" t="str">
        <f>INDEX(PV_Summary!$B$18:$B$118,MATCH($E295,PV_Summary!$A$18:$A$118,0))</f>
        <v>N</v>
      </c>
      <c r="G295" s="123">
        <v>32.897005</v>
      </c>
      <c r="H295" s="61">
        <v>-117.240289</v>
      </c>
      <c r="I295" s="44" t="s">
        <v>3</v>
      </c>
      <c r="J295" s="46">
        <f t="shared" si="234"/>
        <v>0.75</v>
      </c>
      <c r="K295" s="100"/>
      <c r="L295" s="44" t="str">
        <f t="shared" si="235"/>
        <v/>
      </c>
      <c r="M295" s="46">
        <f t="shared" si="236"/>
        <v>0.75</v>
      </c>
      <c r="N295" s="46"/>
      <c r="O295" s="41">
        <f t="shared" si="219"/>
        <v>0</v>
      </c>
      <c r="P295" s="42">
        <v>87000</v>
      </c>
      <c r="Q295" s="44" t="s">
        <v>3</v>
      </c>
      <c r="R295" s="28" t="s">
        <v>55</v>
      </c>
      <c r="S295" s="48">
        <f t="shared" si="238"/>
        <v>609000</v>
      </c>
      <c r="T295" s="48">
        <f t="shared" si="206"/>
        <v>0</v>
      </c>
      <c r="W295" s="28">
        <v>737</v>
      </c>
      <c r="X295" s="105">
        <v>1.5</v>
      </c>
      <c r="Y295" s="105">
        <v>10</v>
      </c>
      <c r="Z295" s="73" t="s">
        <v>469</v>
      </c>
      <c r="AA295" s="28">
        <v>0</v>
      </c>
    </row>
    <row r="296" spans="1:27" x14ac:dyDescent="0.25">
      <c r="A296" s="4"/>
      <c r="B296" s="98" t="s">
        <v>1285</v>
      </c>
      <c r="C296" s="75" t="s">
        <v>1281</v>
      </c>
      <c r="D296" s="28" t="s">
        <v>1242</v>
      </c>
      <c r="E296" s="28">
        <f t="shared" si="237"/>
        <v>92121</v>
      </c>
      <c r="F296" s="143" t="str">
        <f>INDEX(PV_Summary!$B$18:$B$118,MATCH($E296,PV_Summary!$A$18:$A$118,0))</f>
        <v>N</v>
      </c>
      <c r="G296" s="123">
        <v>32.896067000000002</v>
      </c>
      <c r="H296" s="61">
        <v>-117.240652</v>
      </c>
      <c r="I296" s="44" t="s">
        <v>3</v>
      </c>
      <c r="J296" s="46">
        <f t="shared" ref="J296" si="239">IF(O296&gt;1,Sym_Scl_Aggr_Parent,IF(O296&lt;1,Sym_Scl_Aggr_Child,Sym_Scl_Normal))</f>
        <v>0.75</v>
      </c>
      <c r="K296" s="100"/>
      <c r="L296" s="44" t="str">
        <f t="shared" ref="L296" si="240">IF(O296&gt;1,"Total","")</f>
        <v/>
      </c>
      <c r="M296" s="46">
        <f t="shared" ref="M296" si="241">IF(O296&gt;1,Label_Scl_Aggr_Parent,IF(O296&lt;1,Label_Scl_Aggr_Child,Label_Scl_Normal))</f>
        <v>0.75</v>
      </c>
      <c r="N296" s="46"/>
      <c r="O296" s="41">
        <f t="shared" si="219"/>
        <v>0</v>
      </c>
      <c r="P296" s="42">
        <v>30000</v>
      </c>
      <c r="Q296" s="44" t="s">
        <v>3</v>
      </c>
      <c r="R296" s="28" t="s">
        <v>55</v>
      </c>
      <c r="S296" s="48">
        <f t="shared" si="238"/>
        <v>210000</v>
      </c>
      <c r="T296" s="48">
        <f t="shared" si="206"/>
        <v>0</v>
      </c>
      <c r="W296" s="28">
        <v>737</v>
      </c>
      <c r="X296" s="105">
        <v>1.5</v>
      </c>
      <c r="Y296" s="105">
        <v>10</v>
      </c>
      <c r="Z296" s="73" t="s">
        <v>469</v>
      </c>
      <c r="AA296" s="28">
        <v>100</v>
      </c>
    </row>
    <row r="297" spans="1:27" x14ac:dyDescent="0.25">
      <c r="A297" s="4"/>
      <c r="B297" s="62" t="s">
        <v>1287</v>
      </c>
      <c r="C297" s="75" t="s">
        <v>1286</v>
      </c>
      <c r="D297" s="28" t="s">
        <v>1242</v>
      </c>
      <c r="E297" s="28">
        <f t="shared" si="237"/>
        <v>92121</v>
      </c>
      <c r="F297" s="143" t="str">
        <f>INDEX(PV_Summary!$B$18:$B$118,MATCH($E297,PV_Summary!$A$18:$A$118,0))</f>
        <v>N</v>
      </c>
      <c r="G297" s="123">
        <v>32.890380999999998</v>
      </c>
      <c r="H297" s="61">
        <v>-117.22502799999999</v>
      </c>
      <c r="I297" s="44" t="s">
        <v>3</v>
      </c>
      <c r="J297" s="46">
        <f t="shared" ref="J297:J310" ca="1" si="242">IF(O297&gt;1,Sym_Scl_Aggr_Parent,IF(O297&lt;1,Sym_Scl_Aggr_Child,Sym_Scl_Normal))</f>
        <v>1</v>
      </c>
      <c r="K297" s="100"/>
      <c r="L297" s="44" t="str">
        <f t="shared" ref="L297:L310" ca="1" si="243">IF(O297&gt;1,"Total","")</f>
        <v/>
      </c>
      <c r="M297" s="46">
        <f t="shared" ref="M297:M310" ca="1" si="244">IF(O297&gt;1,Label_Scl_Aggr_Parent,IF(O297&lt;1,Label_Scl_Aggr_Child,Label_Scl_Normal))</f>
        <v>1</v>
      </c>
      <c r="N297" s="46"/>
      <c r="O297" s="41">
        <f t="shared" ca="1" si="219"/>
        <v>1</v>
      </c>
      <c r="P297" s="42">
        <v>244000</v>
      </c>
      <c r="Q297" s="99" t="s">
        <v>3</v>
      </c>
      <c r="R297" s="28" t="s">
        <v>55</v>
      </c>
      <c r="S297" s="48">
        <f t="shared" si="238"/>
        <v>1708000</v>
      </c>
      <c r="T297" s="48">
        <f t="shared" ca="1" si="206"/>
        <v>1708000</v>
      </c>
      <c r="W297" s="28">
        <v>748</v>
      </c>
      <c r="X297" s="105">
        <v>1.5</v>
      </c>
      <c r="Y297" s="105">
        <v>10</v>
      </c>
      <c r="Z297" s="73" t="s">
        <v>680</v>
      </c>
      <c r="AA297" s="28">
        <v>200</v>
      </c>
    </row>
    <row r="298" spans="1:27" x14ac:dyDescent="0.25">
      <c r="A298" s="4"/>
      <c r="B298" s="62" t="s">
        <v>1288</v>
      </c>
      <c r="C298" s="75" t="s">
        <v>1289</v>
      </c>
      <c r="D298" s="28" t="s">
        <v>1242</v>
      </c>
      <c r="E298" s="28">
        <f t="shared" si="237"/>
        <v>92121</v>
      </c>
      <c r="F298" s="143" t="str">
        <f>INDEX(PV_Summary!$B$18:$B$118,MATCH($E298,PV_Summary!$A$18:$A$118,0))</f>
        <v>N</v>
      </c>
      <c r="G298" s="123">
        <v>32.890678999999999</v>
      </c>
      <c r="H298" s="61">
        <v>-117.223321</v>
      </c>
      <c r="I298" s="44" t="s">
        <v>69</v>
      </c>
      <c r="J298" s="46">
        <f t="shared" ca="1" si="242"/>
        <v>1.5</v>
      </c>
      <c r="K298" s="100"/>
      <c r="L298" s="44" t="str">
        <f t="shared" ca="1" si="243"/>
        <v>Total</v>
      </c>
      <c r="M298" s="46">
        <f t="shared" ca="1" si="244"/>
        <v>1.25</v>
      </c>
      <c r="N298" s="46"/>
      <c r="O298" s="41">
        <f t="shared" ca="1" si="219"/>
        <v>5</v>
      </c>
      <c r="Q298" s="99"/>
      <c r="S298" s="48">
        <f t="shared" si="238"/>
        <v>0</v>
      </c>
      <c r="T298" s="48">
        <f t="shared" ca="1" si="206"/>
        <v>2562000</v>
      </c>
      <c r="W298" s="28">
        <v>745</v>
      </c>
      <c r="X298" s="105">
        <v>1.46</v>
      </c>
      <c r="Y298" s="105">
        <v>9.74</v>
      </c>
      <c r="Z298" s="73" t="s">
        <v>680</v>
      </c>
      <c r="AA298" s="28"/>
    </row>
    <row r="299" spans="1:27" x14ac:dyDescent="0.25">
      <c r="A299" s="4"/>
      <c r="B299" s="98" t="s">
        <v>1290</v>
      </c>
      <c r="C299" s="75" t="s">
        <v>1289</v>
      </c>
      <c r="D299" s="28" t="s">
        <v>1242</v>
      </c>
      <c r="E299" s="28">
        <f t="shared" ref="E299:E303" si="245">RIGHT(TRIM(D299),5)*1</f>
        <v>92121</v>
      </c>
      <c r="F299" s="143" t="str">
        <f>INDEX(PV_Summary!$B$18:$B$118,MATCH($E299,PV_Summary!$A$18:$A$118,0))</f>
        <v>N</v>
      </c>
      <c r="G299" s="123">
        <v>32.892449999999997</v>
      </c>
      <c r="H299" s="61">
        <v>-117.22531499999999</v>
      </c>
      <c r="I299" s="44" t="s">
        <v>3</v>
      </c>
      <c r="J299" s="46">
        <f t="shared" si="242"/>
        <v>0.75</v>
      </c>
      <c r="K299" s="100"/>
      <c r="L299" s="44" t="str">
        <f t="shared" si="243"/>
        <v/>
      </c>
      <c r="M299" s="46">
        <f t="shared" si="244"/>
        <v>0.75</v>
      </c>
      <c r="N299" s="46"/>
      <c r="O299" s="41">
        <f t="shared" si="219"/>
        <v>0</v>
      </c>
      <c r="P299" s="42">
        <v>163000</v>
      </c>
      <c r="Q299" s="44" t="s">
        <v>3</v>
      </c>
      <c r="R299" s="28" t="s">
        <v>55</v>
      </c>
      <c r="S299" s="48">
        <f t="shared" si="238"/>
        <v>1141000</v>
      </c>
      <c r="T299" s="48">
        <f t="shared" si="206"/>
        <v>0</v>
      </c>
      <c r="W299" s="28">
        <v>745</v>
      </c>
      <c r="X299" s="105">
        <v>1.46</v>
      </c>
      <c r="Y299" s="105">
        <v>9.74</v>
      </c>
      <c r="Z299" s="73" t="s">
        <v>680</v>
      </c>
      <c r="AA299" s="28">
        <v>50</v>
      </c>
    </row>
    <row r="300" spans="1:27" x14ac:dyDescent="0.25">
      <c r="A300" s="4"/>
      <c r="B300" s="98" t="s">
        <v>1291</v>
      </c>
      <c r="C300" s="75" t="s">
        <v>1289</v>
      </c>
      <c r="D300" s="28" t="s">
        <v>1242</v>
      </c>
      <c r="E300" s="28">
        <f t="shared" si="245"/>
        <v>92121</v>
      </c>
      <c r="F300" s="143" t="str">
        <f>INDEX(PV_Summary!$B$18:$B$118,MATCH($E300,PV_Summary!$A$18:$A$118,0))</f>
        <v>N</v>
      </c>
      <c r="G300" s="123">
        <v>32.891621000000001</v>
      </c>
      <c r="H300" s="61">
        <v>-117.224327</v>
      </c>
      <c r="I300" s="44" t="s">
        <v>3</v>
      </c>
      <c r="J300" s="46">
        <f t="shared" si="242"/>
        <v>0.75</v>
      </c>
      <c r="K300" s="100"/>
      <c r="L300" s="44" t="str">
        <f t="shared" si="243"/>
        <v/>
      </c>
      <c r="M300" s="46">
        <f t="shared" si="244"/>
        <v>0.75</v>
      </c>
      <c r="N300" s="46"/>
      <c r="O300" s="41">
        <f t="shared" si="219"/>
        <v>0</v>
      </c>
      <c r="P300" s="42">
        <v>105000</v>
      </c>
      <c r="Q300" s="44" t="s">
        <v>3</v>
      </c>
      <c r="R300" s="28" t="s">
        <v>55</v>
      </c>
      <c r="S300" s="48">
        <f t="shared" si="238"/>
        <v>735000</v>
      </c>
      <c r="T300" s="48">
        <f t="shared" si="206"/>
        <v>0</v>
      </c>
      <c r="W300" s="28">
        <v>745</v>
      </c>
      <c r="X300" s="105">
        <v>1.46</v>
      </c>
      <c r="Y300" s="105">
        <v>9.74</v>
      </c>
      <c r="Z300" s="73" t="s">
        <v>680</v>
      </c>
      <c r="AA300" s="28">
        <v>200</v>
      </c>
    </row>
    <row r="301" spans="1:27" x14ac:dyDescent="0.25">
      <c r="A301" s="4"/>
      <c r="B301" s="98" t="s">
        <v>1292</v>
      </c>
      <c r="C301" s="75" t="s">
        <v>1289</v>
      </c>
      <c r="D301" s="28" t="s">
        <v>1242</v>
      </c>
      <c r="E301" s="28">
        <f t="shared" si="245"/>
        <v>92121</v>
      </c>
      <c r="F301" s="143" t="str">
        <f>INDEX(PV_Summary!$B$18:$B$118,MATCH($E301,PV_Summary!$A$18:$A$118,0))</f>
        <v>N</v>
      </c>
      <c r="G301" s="123">
        <v>32.890610000000002</v>
      </c>
      <c r="H301" s="61">
        <v>-117.223804</v>
      </c>
      <c r="I301" s="44" t="s">
        <v>3</v>
      </c>
      <c r="J301" s="46">
        <f t="shared" si="242"/>
        <v>0.75</v>
      </c>
      <c r="K301" s="100"/>
      <c r="L301" s="44" t="str">
        <f t="shared" si="243"/>
        <v/>
      </c>
      <c r="M301" s="46">
        <f t="shared" si="244"/>
        <v>0.75</v>
      </c>
      <c r="N301" s="46"/>
      <c r="O301" s="41">
        <f t="shared" si="219"/>
        <v>0</v>
      </c>
      <c r="P301" s="42">
        <v>47000</v>
      </c>
      <c r="Q301" s="44" t="s">
        <v>3</v>
      </c>
      <c r="R301" s="28" t="s">
        <v>55</v>
      </c>
      <c r="S301" s="48">
        <f t="shared" si="238"/>
        <v>329000</v>
      </c>
      <c r="T301" s="48">
        <f t="shared" si="206"/>
        <v>0</v>
      </c>
      <c r="W301" s="28">
        <v>745</v>
      </c>
      <c r="X301" s="105">
        <v>1.46</v>
      </c>
      <c r="Y301" s="105">
        <v>9.74</v>
      </c>
      <c r="Z301" s="73" t="s">
        <v>680</v>
      </c>
      <c r="AA301" s="28">
        <v>50</v>
      </c>
    </row>
    <row r="302" spans="1:27" x14ac:dyDescent="0.25">
      <c r="A302" s="4"/>
      <c r="B302" s="98" t="s">
        <v>1293</v>
      </c>
      <c r="C302" s="75" t="s">
        <v>1289</v>
      </c>
      <c r="D302" s="28" t="s">
        <v>1242</v>
      </c>
      <c r="E302" s="28">
        <f t="shared" si="245"/>
        <v>92121</v>
      </c>
      <c r="F302" s="143" t="str">
        <f>INDEX(PV_Summary!$B$18:$B$118,MATCH($E302,PV_Summary!$A$18:$A$118,0))</f>
        <v>N</v>
      </c>
      <c r="G302" s="123">
        <v>32.890017999999998</v>
      </c>
      <c r="H302" s="61">
        <v>-117.222943</v>
      </c>
      <c r="I302" s="44" t="s">
        <v>3</v>
      </c>
      <c r="J302" s="46">
        <f t="shared" si="242"/>
        <v>0.75</v>
      </c>
      <c r="K302" s="100"/>
      <c r="L302" s="44" t="str">
        <f t="shared" si="243"/>
        <v/>
      </c>
      <c r="M302" s="46">
        <f t="shared" si="244"/>
        <v>0.75</v>
      </c>
      <c r="N302" s="46"/>
      <c r="O302" s="41">
        <f t="shared" si="219"/>
        <v>0</v>
      </c>
      <c r="P302" s="42">
        <v>51000</v>
      </c>
      <c r="Q302" s="44" t="s">
        <v>3</v>
      </c>
      <c r="R302" s="28" t="s">
        <v>55</v>
      </c>
      <c r="S302" s="48">
        <f t="shared" si="238"/>
        <v>357000</v>
      </c>
      <c r="T302" s="48">
        <f t="shared" si="206"/>
        <v>0</v>
      </c>
      <c r="W302" s="28">
        <v>745</v>
      </c>
      <c r="X302" s="105">
        <v>1.46</v>
      </c>
      <c r="Y302" s="105">
        <v>9.74</v>
      </c>
      <c r="Z302" s="73" t="s">
        <v>680</v>
      </c>
      <c r="AA302" s="28">
        <v>50</v>
      </c>
    </row>
    <row r="303" spans="1:27" x14ac:dyDescent="0.25">
      <c r="A303" s="4"/>
      <c r="B303" s="62" t="s">
        <v>1294</v>
      </c>
      <c r="C303" s="75" t="s">
        <v>1295</v>
      </c>
      <c r="D303" s="28" t="s">
        <v>1242</v>
      </c>
      <c r="E303" s="28">
        <f t="shared" si="245"/>
        <v>92121</v>
      </c>
      <c r="F303" s="143" t="str">
        <f>INDEX(PV_Summary!$B$18:$B$118,MATCH($E303,PV_Summary!$A$18:$A$118,0))</f>
        <v>N</v>
      </c>
      <c r="G303" s="123">
        <v>32.893166000000001</v>
      </c>
      <c r="H303" s="61">
        <v>-117.22399799999999</v>
      </c>
      <c r="I303" s="44" t="s">
        <v>69</v>
      </c>
      <c r="J303" s="46">
        <f t="shared" ref="J303:J309" ca="1" si="246">IF(O303&gt;1,Sym_Scl_Aggr_Parent,IF(O303&lt;1,Sym_Scl_Aggr_Child,Sym_Scl_Normal))</f>
        <v>1.5</v>
      </c>
      <c r="K303" s="100"/>
      <c r="L303" s="44" t="str">
        <f t="shared" ref="L303:L309" ca="1" si="247">IF(O303&gt;1,"Total","")</f>
        <v>Total</v>
      </c>
      <c r="M303" s="46">
        <f t="shared" ref="M303:M309" ca="1" si="248">IF(O303&gt;1,Label_Scl_Aggr_Parent,IF(O303&lt;1,Label_Scl_Aggr_Child,Label_Scl_Normal))</f>
        <v>1.25</v>
      </c>
      <c r="N303" s="46"/>
      <c r="O303" s="41">
        <f t="shared" ca="1" si="219"/>
        <v>6</v>
      </c>
      <c r="Q303" s="44"/>
      <c r="S303" s="48"/>
      <c r="T303" s="48">
        <f t="shared" ca="1" si="206"/>
        <v>2429000</v>
      </c>
      <c r="W303" s="28">
        <v>745</v>
      </c>
      <c r="X303" s="105">
        <v>1.46</v>
      </c>
      <c r="Y303" s="105">
        <v>9.74</v>
      </c>
      <c r="Z303" s="73" t="s">
        <v>680</v>
      </c>
      <c r="AA303" s="28"/>
    </row>
    <row r="304" spans="1:27" x14ac:dyDescent="0.25">
      <c r="A304" s="4"/>
      <c r="B304" s="98" t="s">
        <v>1296</v>
      </c>
      <c r="C304" s="75" t="s">
        <v>1295</v>
      </c>
      <c r="D304" s="28" t="s">
        <v>1242</v>
      </c>
      <c r="E304" s="28">
        <f t="shared" ref="E304:E308" si="249">RIGHT(TRIM(D304),5)*1</f>
        <v>92121</v>
      </c>
      <c r="F304" s="143" t="str">
        <f>INDEX(PV_Summary!$B$18:$B$118,MATCH($E304,PV_Summary!$A$18:$A$118,0))</f>
        <v>N</v>
      </c>
      <c r="G304" s="123">
        <v>32.894925000000001</v>
      </c>
      <c r="H304" s="61">
        <v>-117.22433700000001</v>
      </c>
      <c r="I304" s="44" t="s">
        <v>3</v>
      </c>
      <c r="J304" s="46">
        <f t="shared" si="246"/>
        <v>0.75</v>
      </c>
      <c r="K304" s="100"/>
      <c r="L304" s="44" t="str">
        <f t="shared" si="247"/>
        <v/>
      </c>
      <c r="M304" s="46">
        <f t="shared" si="248"/>
        <v>0.75</v>
      </c>
      <c r="N304" s="46"/>
      <c r="O304" s="41">
        <f t="shared" si="219"/>
        <v>0</v>
      </c>
      <c r="P304" s="42">
        <v>112000</v>
      </c>
      <c r="Q304" s="44" t="s">
        <v>3</v>
      </c>
      <c r="R304" s="28" t="s">
        <v>55</v>
      </c>
      <c r="S304" s="48">
        <f t="shared" si="238"/>
        <v>784000</v>
      </c>
      <c r="T304" s="48">
        <f t="shared" si="206"/>
        <v>0</v>
      </c>
      <c r="W304" s="28">
        <v>745</v>
      </c>
      <c r="X304" s="105">
        <v>1.46</v>
      </c>
      <c r="Y304" s="105">
        <v>9.74</v>
      </c>
      <c r="Z304" s="73" t="s">
        <v>680</v>
      </c>
      <c r="AA304" s="28">
        <v>600</v>
      </c>
    </row>
    <row r="305" spans="1:27" x14ac:dyDescent="0.25">
      <c r="A305" s="4"/>
      <c r="B305" s="98" t="s">
        <v>1297</v>
      </c>
      <c r="C305" s="75" t="s">
        <v>1295</v>
      </c>
      <c r="D305" s="28" t="s">
        <v>1242</v>
      </c>
      <c r="E305" s="28">
        <f t="shared" si="249"/>
        <v>92121</v>
      </c>
      <c r="F305" s="143" t="str">
        <f>INDEX(PV_Summary!$B$18:$B$118,MATCH($E305,PV_Summary!$A$18:$A$118,0))</f>
        <v>N</v>
      </c>
      <c r="G305" s="123">
        <v>32.893585999999999</v>
      </c>
      <c r="H305" s="61">
        <v>-117.224926</v>
      </c>
      <c r="I305" s="44" t="s">
        <v>3</v>
      </c>
      <c r="J305" s="46">
        <f t="shared" si="246"/>
        <v>0.75</v>
      </c>
      <c r="K305" s="100"/>
      <c r="L305" s="44" t="str">
        <f t="shared" si="247"/>
        <v/>
      </c>
      <c r="M305" s="46">
        <f t="shared" si="248"/>
        <v>0.75</v>
      </c>
      <c r="N305" s="46"/>
      <c r="O305" s="41">
        <f t="shared" si="219"/>
        <v>0</v>
      </c>
      <c r="P305" s="42">
        <v>76000</v>
      </c>
      <c r="Q305" s="44" t="s">
        <v>3</v>
      </c>
      <c r="R305" s="28" t="s">
        <v>55</v>
      </c>
      <c r="S305" s="48">
        <f t="shared" si="238"/>
        <v>532000</v>
      </c>
      <c r="T305" s="48">
        <f t="shared" si="206"/>
        <v>0</v>
      </c>
      <c r="W305" s="28">
        <v>745</v>
      </c>
      <c r="X305" s="105">
        <v>1.46</v>
      </c>
      <c r="Y305" s="105">
        <v>9.74</v>
      </c>
      <c r="Z305" s="73" t="s">
        <v>680</v>
      </c>
      <c r="AA305" s="28">
        <v>300</v>
      </c>
    </row>
    <row r="306" spans="1:27" x14ac:dyDescent="0.25">
      <c r="A306" s="4"/>
      <c r="B306" s="98" t="s">
        <v>1298</v>
      </c>
      <c r="C306" s="75" t="s">
        <v>1295</v>
      </c>
      <c r="D306" s="28" t="s">
        <v>1242</v>
      </c>
      <c r="E306" s="28">
        <f t="shared" si="249"/>
        <v>92121</v>
      </c>
      <c r="F306" s="143" t="str">
        <f>INDEX(PV_Summary!$B$18:$B$118,MATCH($E306,PV_Summary!$A$18:$A$118,0))</f>
        <v>N</v>
      </c>
      <c r="G306" s="123">
        <v>32.892184</v>
      </c>
      <c r="H306" s="61">
        <v>-117.223451</v>
      </c>
      <c r="I306" s="44" t="s">
        <v>3</v>
      </c>
      <c r="J306" s="46">
        <f t="shared" si="246"/>
        <v>0.75</v>
      </c>
      <c r="K306" s="100"/>
      <c r="L306" s="44" t="str">
        <f t="shared" si="247"/>
        <v/>
      </c>
      <c r="M306" s="46">
        <f t="shared" si="248"/>
        <v>0.75</v>
      </c>
      <c r="N306" s="46"/>
      <c r="O306" s="41">
        <f t="shared" si="219"/>
        <v>0</v>
      </c>
      <c r="P306" s="42">
        <v>52000</v>
      </c>
      <c r="Q306" s="44" t="s">
        <v>3</v>
      </c>
      <c r="R306" s="28" t="s">
        <v>55</v>
      </c>
      <c r="S306" s="48">
        <f t="shared" si="238"/>
        <v>364000</v>
      </c>
      <c r="T306" s="48">
        <f t="shared" si="206"/>
        <v>0</v>
      </c>
      <c r="W306" s="28">
        <v>745</v>
      </c>
      <c r="X306" s="105">
        <v>1.46</v>
      </c>
      <c r="Y306" s="105">
        <v>9.74</v>
      </c>
      <c r="Z306" s="73" t="s">
        <v>680</v>
      </c>
      <c r="AA306" s="28">
        <v>0</v>
      </c>
    </row>
    <row r="307" spans="1:27" x14ac:dyDescent="0.25">
      <c r="A307" s="4"/>
      <c r="B307" s="98" t="s">
        <v>1299</v>
      </c>
      <c r="C307" s="75" t="s">
        <v>1295</v>
      </c>
      <c r="D307" s="28" t="s">
        <v>1242</v>
      </c>
      <c r="E307" s="28">
        <f t="shared" si="249"/>
        <v>92121</v>
      </c>
      <c r="F307" s="143" t="str">
        <f>INDEX(PV_Summary!$B$18:$B$118,MATCH($E307,PV_Summary!$A$18:$A$118,0))</f>
        <v>N</v>
      </c>
      <c r="G307" s="123">
        <v>32.891627999999997</v>
      </c>
      <c r="H307" s="61">
        <v>-117.222675</v>
      </c>
      <c r="I307" s="44" t="s">
        <v>3</v>
      </c>
      <c r="J307" s="46">
        <f t="shared" si="246"/>
        <v>0.75</v>
      </c>
      <c r="K307" s="100"/>
      <c r="L307" s="44" t="str">
        <f t="shared" si="247"/>
        <v/>
      </c>
      <c r="M307" s="46">
        <f t="shared" si="248"/>
        <v>0.75</v>
      </c>
      <c r="N307" s="46"/>
      <c r="O307" s="41">
        <f t="shared" si="219"/>
        <v>0</v>
      </c>
      <c r="P307" s="42">
        <v>82000</v>
      </c>
      <c r="Q307" s="44" t="s">
        <v>3</v>
      </c>
      <c r="R307" s="28" t="s">
        <v>55</v>
      </c>
      <c r="S307" s="48">
        <f t="shared" si="238"/>
        <v>574000</v>
      </c>
      <c r="T307" s="48">
        <f t="shared" si="206"/>
        <v>0</v>
      </c>
      <c r="W307" s="28">
        <v>745</v>
      </c>
      <c r="X307" s="105">
        <v>1.46</v>
      </c>
      <c r="Y307" s="105">
        <v>9.74</v>
      </c>
      <c r="Z307" s="73" t="s">
        <v>680</v>
      </c>
      <c r="AA307" s="28">
        <v>0</v>
      </c>
    </row>
    <row r="308" spans="1:27" x14ac:dyDescent="0.25">
      <c r="A308" s="4"/>
      <c r="B308" s="98" t="s">
        <v>1300</v>
      </c>
      <c r="C308" s="75" t="s">
        <v>1295</v>
      </c>
      <c r="D308" s="28" t="s">
        <v>1242</v>
      </c>
      <c r="E308" s="28">
        <f t="shared" si="249"/>
        <v>92121</v>
      </c>
      <c r="F308" s="143" t="str">
        <f>INDEX(PV_Summary!$B$18:$B$118,MATCH($E308,PV_Summary!$A$18:$A$118,0))</f>
        <v>N</v>
      </c>
      <c r="G308" s="123">
        <v>32.893388000000002</v>
      </c>
      <c r="H308" s="61">
        <v>-117.22236599999999</v>
      </c>
      <c r="I308" s="44" t="s">
        <v>3</v>
      </c>
      <c r="J308" s="46">
        <f t="shared" si="246"/>
        <v>0.75</v>
      </c>
      <c r="K308" s="100"/>
      <c r="L308" s="44" t="str">
        <f t="shared" si="247"/>
        <v/>
      </c>
      <c r="M308" s="46">
        <f t="shared" si="248"/>
        <v>0.75</v>
      </c>
      <c r="N308" s="46"/>
      <c r="O308" s="41">
        <f t="shared" si="219"/>
        <v>0</v>
      </c>
      <c r="P308" s="42">
        <v>25000</v>
      </c>
      <c r="Q308" s="44" t="s">
        <v>3</v>
      </c>
      <c r="R308" s="28" t="s">
        <v>55</v>
      </c>
      <c r="S308" s="48">
        <f t="shared" si="238"/>
        <v>175000</v>
      </c>
      <c r="T308" s="48">
        <f t="shared" si="206"/>
        <v>0</v>
      </c>
      <c r="W308" s="28">
        <v>745</v>
      </c>
      <c r="X308" s="105">
        <v>1.46</v>
      </c>
      <c r="Y308" s="105">
        <v>9.74</v>
      </c>
      <c r="Z308" s="73" t="s">
        <v>680</v>
      </c>
      <c r="AA308" s="28">
        <v>700</v>
      </c>
    </row>
    <row r="309" spans="1:27" x14ac:dyDescent="0.25">
      <c r="A309" s="4"/>
      <c r="B309" s="28" t="s">
        <v>685</v>
      </c>
      <c r="C309" s="75" t="s">
        <v>686</v>
      </c>
      <c r="D309" s="28" t="s">
        <v>687</v>
      </c>
      <c r="E309" s="28">
        <f t="shared" si="211"/>
        <v>92093</v>
      </c>
      <c r="F309" s="143" t="str">
        <f>INDEX(PV_Summary!$B$18:$B$118,MATCH($E309,PV_Summary!$A$18:$A$118,0))</f>
        <v>S</v>
      </c>
      <c r="G309" s="123">
        <v>32.875435000000003</v>
      </c>
      <c r="H309" s="61">
        <v>-117.235429</v>
      </c>
      <c r="I309" s="44" t="s">
        <v>3</v>
      </c>
      <c r="J309" s="46">
        <f t="shared" ca="1" si="246"/>
        <v>1.5</v>
      </c>
      <c r="K309" s="100"/>
      <c r="L309" s="44" t="str">
        <f t="shared" ca="1" si="247"/>
        <v>Total</v>
      </c>
      <c r="M309" s="46">
        <f t="shared" ca="1" si="248"/>
        <v>1.25</v>
      </c>
      <c r="N309" s="46"/>
      <c r="O309" s="41">
        <f t="shared" ca="1" si="219"/>
        <v>31</v>
      </c>
      <c r="Q309" s="44"/>
      <c r="S309" s="48">
        <f t="shared" si="238"/>
        <v>0</v>
      </c>
      <c r="T309" s="48">
        <f t="shared" ca="1" si="206"/>
        <v>17815000</v>
      </c>
      <c r="U309" s="28" t="s">
        <v>749</v>
      </c>
      <c r="W309" s="28" t="s">
        <v>604</v>
      </c>
      <c r="X309" s="105"/>
      <c r="Y309" s="105"/>
      <c r="Z309" s="73" t="s">
        <v>604</v>
      </c>
      <c r="AA309" s="28"/>
    </row>
    <row r="310" spans="1:27" x14ac:dyDescent="0.25">
      <c r="A310" s="4"/>
      <c r="B310" s="98" t="s">
        <v>688</v>
      </c>
      <c r="C310" s="75" t="s">
        <v>686</v>
      </c>
      <c r="D310" s="28" t="s">
        <v>687</v>
      </c>
      <c r="E310" s="28">
        <f t="shared" ref="E310:E762" si="250">RIGHT(TRIM(D310),5)*1</f>
        <v>92093</v>
      </c>
      <c r="F310" s="143" t="str">
        <f>INDEX(PV_Summary!$B$18:$B$118,MATCH($E310,PV_Summary!$A$18:$A$118,0))</f>
        <v>S</v>
      </c>
      <c r="G310" s="123">
        <v>32.888478999999997</v>
      </c>
      <c r="H310" s="61">
        <v>-117.24496000000001</v>
      </c>
      <c r="I310" s="44" t="s">
        <v>3</v>
      </c>
      <c r="J310" s="46">
        <f t="shared" si="242"/>
        <v>0.75</v>
      </c>
      <c r="K310" s="100"/>
      <c r="L310" s="44" t="str">
        <f t="shared" si="243"/>
        <v/>
      </c>
      <c r="M310" s="46">
        <f t="shared" si="244"/>
        <v>0.75</v>
      </c>
      <c r="N310" s="46"/>
      <c r="O310" s="41">
        <f t="shared" si="219"/>
        <v>0</v>
      </c>
      <c r="P310" s="42">
        <v>55000</v>
      </c>
      <c r="Q310" s="44" t="s">
        <v>3</v>
      </c>
      <c r="R310" s="28" t="s">
        <v>55</v>
      </c>
      <c r="S310" s="48">
        <f t="shared" si="238"/>
        <v>385000</v>
      </c>
      <c r="T310" s="48">
        <f t="shared" si="206"/>
        <v>0</v>
      </c>
      <c r="U310" s="28" t="s">
        <v>690</v>
      </c>
      <c r="W310" s="28">
        <v>65</v>
      </c>
      <c r="X310" s="105">
        <v>1.24</v>
      </c>
      <c r="Y310" s="105">
        <v>8.26</v>
      </c>
      <c r="Z310" s="73" t="s">
        <v>745</v>
      </c>
      <c r="AA310" s="28">
        <v>250</v>
      </c>
    </row>
    <row r="311" spans="1:27" x14ac:dyDescent="0.25">
      <c r="A311" s="4"/>
      <c r="B311" s="98" t="s">
        <v>689</v>
      </c>
      <c r="C311" s="75" t="s">
        <v>686</v>
      </c>
      <c r="D311" s="28" t="s">
        <v>687</v>
      </c>
      <c r="E311" s="28">
        <f t="shared" si="250"/>
        <v>92093</v>
      </c>
      <c r="F311" s="143" t="str">
        <f>INDEX(PV_Summary!$B$18:$B$118,MATCH($E311,PV_Summary!$A$18:$A$118,0))</f>
        <v>S</v>
      </c>
      <c r="G311" s="123">
        <v>32.888432000000002</v>
      </c>
      <c r="H311" s="61">
        <v>-117.24404</v>
      </c>
      <c r="I311" s="44" t="s">
        <v>3</v>
      </c>
      <c r="J311" s="46">
        <f t="shared" ref="J311:J315" si="251">IF(O311&gt;1,Sym_Scl_Aggr_Parent,IF(O311&lt;1,Sym_Scl_Aggr_Child,Sym_Scl_Normal))</f>
        <v>0.75</v>
      </c>
      <c r="K311" s="100"/>
      <c r="L311" s="44" t="str">
        <f t="shared" ref="L311:L325" si="252">IF(O311&gt;1,"Total","")</f>
        <v/>
      </c>
      <c r="M311" s="46">
        <f t="shared" ref="M311:M315" si="253">IF(O311&gt;1,Label_Scl_Aggr_Parent,IF(O311&lt;1,Label_Scl_Aggr_Child,Label_Scl_Normal))</f>
        <v>0.75</v>
      </c>
      <c r="N311" s="46"/>
      <c r="O311" s="41">
        <f t="shared" si="219"/>
        <v>0</v>
      </c>
      <c r="P311" s="42">
        <v>71000</v>
      </c>
      <c r="Q311" s="44" t="s">
        <v>3</v>
      </c>
      <c r="R311" s="28" t="s">
        <v>55</v>
      </c>
      <c r="S311" s="48">
        <f t="shared" ref="S311:S504" si="254">IF(ISNUMBER(FIND("Existing",$Q311)),0,IF($P311=0,0,INDEX(PV_W_Type_Rating_Tbl,MATCH($Q311,PV_Type_List,0),MATCH($R311,Rating_List,0)+4*DC_AC_Num)*$P311))</f>
        <v>497000</v>
      </c>
      <c r="T311" s="48">
        <f t="shared" si="206"/>
        <v>0</v>
      </c>
      <c r="U311" s="28" t="s">
        <v>690</v>
      </c>
      <c r="W311" s="28">
        <v>65</v>
      </c>
      <c r="X311" s="105">
        <v>1.24</v>
      </c>
      <c r="Y311" s="105">
        <v>8.26</v>
      </c>
      <c r="Z311" s="73" t="s">
        <v>745</v>
      </c>
      <c r="AA311" s="28">
        <v>100</v>
      </c>
    </row>
    <row r="312" spans="1:27" x14ac:dyDescent="0.25">
      <c r="A312" s="4"/>
      <c r="B312" s="98" t="s">
        <v>691</v>
      </c>
      <c r="C312" s="75" t="s">
        <v>686</v>
      </c>
      <c r="D312" s="28" t="s">
        <v>687</v>
      </c>
      <c r="E312" s="28">
        <f t="shared" si="250"/>
        <v>92093</v>
      </c>
      <c r="F312" s="143" t="str">
        <f>INDEX(PV_Summary!$B$18:$B$118,MATCH($E312,PV_Summary!$A$18:$A$118,0))</f>
        <v>S</v>
      </c>
      <c r="G312" s="123">
        <v>32.888340999999997</v>
      </c>
      <c r="H312" s="61">
        <v>-117.248369</v>
      </c>
      <c r="I312" s="44" t="s">
        <v>3</v>
      </c>
      <c r="J312" s="46">
        <f t="shared" si="251"/>
        <v>0.75</v>
      </c>
      <c r="K312" s="100"/>
      <c r="L312" s="44" t="str">
        <f t="shared" si="252"/>
        <v/>
      </c>
      <c r="M312" s="46">
        <f t="shared" si="253"/>
        <v>0.75</v>
      </c>
      <c r="N312" s="46"/>
      <c r="O312" s="41">
        <f t="shared" si="219"/>
        <v>0</v>
      </c>
      <c r="P312" s="42">
        <v>118000</v>
      </c>
      <c r="Q312" s="44" t="s">
        <v>3</v>
      </c>
      <c r="R312" s="28" t="s">
        <v>55</v>
      </c>
      <c r="S312" s="48">
        <f t="shared" si="254"/>
        <v>826000</v>
      </c>
      <c r="T312" s="48">
        <f t="shared" si="206"/>
        <v>0</v>
      </c>
      <c r="U312" s="75" t="s">
        <v>693</v>
      </c>
      <c r="V312" s="164"/>
      <c r="W312" s="28">
        <v>65</v>
      </c>
      <c r="X312" s="105">
        <v>1.24</v>
      </c>
      <c r="Y312" s="105">
        <v>8.26</v>
      </c>
      <c r="Z312" s="73" t="s">
        <v>745</v>
      </c>
      <c r="AA312" s="28">
        <v>1000</v>
      </c>
    </row>
    <row r="313" spans="1:27" x14ac:dyDescent="0.25">
      <c r="A313" s="4"/>
      <c r="B313" s="98" t="s">
        <v>692</v>
      </c>
      <c r="C313" s="75" t="s">
        <v>686</v>
      </c>
      <c r="D313" s="28" t="s">
        <v>687</v>
      </c>
      <c r="E313" s="28">
        <f t="shared" si="250"/>
        <v>92093</v>
      </c>
      <c r="F313" s="143" t="str">
        <f>INDEX(PV_Summary!$B$18:$B$118,MATCH($E313,PV_Summary!$A$18:$A$118,0))</f>
        <v>S</v>
      </c>
      <c r="G313" s="123">
        <v>32.887138999999998</v>
      </c>
      <c r="H313" s="61">
        <v>-117.244365</v>
      </c>
      <c r="I313" s="44" t="s">
        <v>3</v>
      </c>
      <c r="J313" s="46">
        <f t="shared" si="251"/>
        <v>0.75</v>
      </c>
      <c r="K313" s="100"/>
      <c r="L313" s="44" t="str">
        <f t="shared" si="252"/>
        <v/>
      </c>
      <c r="M313" s="46">
        <f t="shared" si="253"/>
        <v>0.75</v>
      </c>
      <c r="N313" s="46"/>
      <c r="O313" s="41">
        <f t="shared" si="219"/>
        <v>0</v>
      </c>
      <c r="P313" s="42">
        <v>52000</v>
      </c>
      <c r="Q313" s="44" t="s">
        <v>3</v>
      </c>
      <c r="R313" s="28" t="s">
        <v>55</v>
      </c>
      <c r="S313" s="48">
        <f t="shared" si="254"/>
        <v>364000</v>
      </c>
      <c r="T313" s="48">
        <f t="shared" si="206"/>
        <v>0</v>
      </c>
      <c r="U313" s="75" t="s">
        <v>693</v>
      </c>
      <c r="V313" s="164"/>
      <c r="W313" s="28">
        <v>65</v>
      </c>
      <c r="X313" s="105">
        <v>1.24</v>
      </c>
      <c r="Y313" s="105">
        <v>8.26</v>
      </c>
      <c r="Z313" s="73" t="s">
        <v>745</v>
      </c>
      <c r="AA313" s="28">
        <v>100</v>
      </c>
    </row>
    <row r="314" spans="1:27" x14ac:dyDescent="0.25">
      <c r="A314" s="4"/>
      <c r="B314" s="98" t="s">
        <v>694</v>
      </c>
      <c r="C314" s="75" t="s">
        <v>686</v>
      </c>
      <c r="D314" s="28" t="s">
        <v>687</v>
      </c>
      <c r="E314" s="28">
        <f t="shared" si="250"/>
        <v>92093</v>
      </c>
      <c r="F314" s="143" t="str">
        <f>INDEX(PV_Summary!$B$18:$B$118,MATCH($E314,PV_Summary!$A$18:$A$118,0))</f>
        <v>S</v>
      </c>
      <c r="G314" s="123">
        <v>32.884179000000003</v>
      </c>
      <c r="H314" s="61">
        <v>-117.24306900000001</v>
      </c>
      <c r="I314" s="44" t="s">
        <v>36</v>
      </c>
      <c r="J314" s="46">
        <f t="shared" si="251"/>
        <v>0.75</v>
      </c>
      <c r="K314" s="100"/>
      <c r="L314" s="44" t="str">
        <f t="shared" si="252"/>
        <v/>
      </c>
      <c r="M314" s="46">
        <f t="shared" si="253"/>
        <v>0.75</v>
      </c>
      <c r="N314" s="46"/>
      <c r="O314" s="41">
        <f t="shared" si="219"/>
        <v>0</v>
      </c>
      <c r="P314" s="42">
        <v>54000</v>
      </c>
      <c r="Q314" s="44" t="s">
        <v>36</v>
      </c>
      <c r="R314" s="28" t="s">
        <v>55</v>
      </c>
      <c r="S314" s="48">
        <f t="shared" si="254"/>
        <v>378000</v>
      </c>
      <c r="T314" s="48">
        <f t="shared" si="206"/>
        <v>0</v>
      </c>
      <c r="U314" s="107" t="s">
        <v>695</v>
      </c>
      <c r="V314" s="165"/>
      <c r="W314" s="28">
        <v>65</v>
      </c>
      <c r="X314" s="105">
        <v>1.24</v>
      </c>
      <c r="Y314" s="105">
        <v>8.26</v>
      </c>
      <c r="Z314" s="73" t="s">
        <v>745</v>
      </c>
      <c r="AA314" s="28">
        <v>250</v>
      </c>
    </row>
    <row r="315" spans="1:27" x14ac:dyDescent="0.25">
      <c r="A315" s="4"/>
      <c r="B315" s="98" t="s">
        <v>696</v>
      </c>
      <c r="C315" s="75" t="s">
        <v>686</v>
      </c>
      <c r="D315" s="28" t="s">
        <v>687</v>
      </c>
      <c r="E315" s="28">
        <f t="shared" si="250"/>
        <v>92093</v>
      </c>
      <c r="F315" s="143" t="str">
        <f>INDEX(PV_Summary!$B$18:$B$118,MATCH($E315,PV_Summary!$A$18:$A$118,0))</f>
        <v>S</v>
      </c>
      <c r="G315" s="123">
        <v>32.883771000000003</v>
      </c>
      <c r="H315" s="61">
        <v>-117.239296</v>
      </c>
      <c r="I315" s="44" t="s">
        <v>210</v>
      </c>
      <c r="J315" s="46">
        <f t="shared" si="251"/>
        <v>0.75</v>
      </c>
      <c r="K315" s="100" t="s">
        <v>157</v>
      </c>
      <c r="L315" s="44" t="str">
        <f t="shared" si="252"/>
        <v/>
      </c>
      <c r="M315" s="46">
        <f t="shared" si="253"/>
        <v>0.75</v>
      </c>
      <c r="N315" s="46"/>
      <c r="O315" s="41">
        <f t="shared" si="219"/>
        <v>0</v>
      </c>
      <c r="Q315" s="44" t="s">
        <v>172</v>
      </c>
      <c r="S315" s="48">
        <f t="shared" si="254"/>
        <v>0</v>
      </c>
      <c r="T315" s="48">
        <f t="shared" si="206"/>
        <v>0</v>
      </c>
      <c r="U315" s="107" t="s">
        <v>697</v>
      </c>
      <c r="V315" s="165"/>
      <c r="W315" s="28">
        <v>65</v>
      </c>
      <c r="X315" s="105">
        <v>1.24</v>
      </c>
      <c r="Y315" s="105">
        <v>8.26</v>
      </c>
      <c r="Z315" s="73" t="s">
        <v>745</v>
      </c>
      <c r="AA315" s="28">
        <v>250</v>
      </c>
    </row>
    <row r="316" spans="1:27" x14ac:dyDescent="0.25">
      <c r="A316" s="4"/>
      <c r="B316" s="98" t="s">
        <v>699</v>
      </c>
      <c r="C316" s="75" t="s">
        <v>686</v>
      </c>
      <c r="D316" s="28" t="s">
        <v>687</v>
      </c>
      <c r="E316" s="28">
        <f t="shared" si="250"/>
        <v>92093</v>
      </c>
      <c r="F316" s="143" t="str">
        <f>INDEX(PV_Summary!$B$18:$B$118,MATCH($E316,PV_Summary!$A$18:$A$118,0))</f>
        <v>S</v>
      </c>
      <c r="G316" s="123">
        <v>32.882455</v>
      </c>
      <c r="H316" s="61">
        <v>-117.24270300000001</v>
      </c>
      <c r="I316" s="44" t="s">
        <v>3</v>
      </c>
      <c r="J316" s="46">
        <f t="shared" ref="J316:J325" si="255">IF(O316&gt;1,Sym_Scl_Aggr_Parent,IF(O316&lt;1,Sym_Scl_Aggr_Child,Sym_Scl_Normal))</f>
        <v>0.75</v>
      </c>
      <c r="K316" s="100"/>
      <c r="L316" s="44" t="str">
        <f t="shared" si="252"/>
        <v/>
      </c>
      <c r="M316" s="46">
        <f t="shared" ref="M316:M325" si="256">IF(O316&gt;1,Label_Scl_Aggr_Parent,IF(O316&lt;1,Label_Scl_Aggr_Child,Label_Scl_Normal))</f>
        <v>0.75</v>
      </c>
      <c r="N316" s="46"/>
      <c r="O316" s="41">
        <f t="shared" si="219"/>
        <v>0</v>
      </c>
      <c r="P316" s="42">
        <v>19000</v>
      </c>
      <c r="Q316" s="44" t="s">
        <v>3</v>
      </c>
      <c r="R316" s="28" t="s">
        <v>55</v>
      </c>
      <c r="S316" s="48">
        <f t="shared" si="254"/>
        <v>133000</v>
      </c>
      <c r="T316" s="48">
        <f t="shared" si="206"/>
        <v>0</v>
      </c>
      <c r="U316" s="107" t="s">
        <v>679</v>
      </c>
      <c r="V316" s="165"/>
      <c r="W316" s="28">
        <v>65</v>
      </c>
      <c r="X316" s="105">
        <v>1.24</v>
      </c>
      <c r="Y316" s="105">
        <v>8.26</v>
      </c>
      <c r="Z316" s="73" t="s">
        <v>745</v>
      </c>
      <c r="AA316" s="28">
        <v>300</v>
      </c>
    </row>
    <row r="317" spans="1:27" x14ac:dyDescent="0.25">
      <c r="A317" s="4"/>
      <c r="B317" s="98" t="s">
        <v>700</v>
      </c>
      <c r="C317" s="75" t="s">
        <v>686</v>
      </c>
      <c r="D317" s="28" t="s">
        <v>687</v>
      </c>
      <c r="E317" s="28">
        <f t="shared" si="250"/>
        <v>92093</v>
      </c>
      <c r="F317" s="143" t="str">
        <f>INDEX(PV_Summary!$B$18:$B$118,MATCH($E317,PV_Summary!$A$18:$A$118,0))</f>
        <v>S</v>
      </c>
      <c r="G317" s="123">
        <v>32.881481999999998</v>
      </c>
      <c r="H317" s="61">
        <v>-117.242705</v>
      </c>
      <c r="I317" s="44" t="s">
        <v>3</v>
      </c>
      <c r="J317" s="46">
        <f t="shared" si="255"/>
        <v>0.75</v>
      </c>
      <c r="K317" s="100"/>
      <c r="L317" s="44" t="str">
        <f t="shared" si="252"/>
        <v/>
      </c>
      <c r="M317" s="46">
        <f t="shared" si="256"/>
        <v>0.75</v>
      </c>
      <c r="N317" s="46"/>
      <c r="O317" s="41">
        <f t="shared" si="219"/>
        <v>0</v>
      </c>
      <c r="P317" s="42">
        <v>40000</v>
      </c>
      <c r="Q317" s="44" t="s">
        <v>3</v>
      </c>
      <c r="R317" s="28" t="s">
        <v>55</v>
      </c>
      <c r="S317" s="48">
        <f t="shared" si="254"/>
        <v>280000</v>
      </c>
      <c r="T317" s="48">
        <f t="shared" si="206"/>
        <v>0</v>
      </c>
      <c r="U317" s="107" t="s">
        <v>679</v>
      </c>
      <c r="V317" s="165"/>
      <c r="W317" s="28">
        <v>65</v>
      </c>
      <c r="X317" s="105">
        <v>1.24</v>
      </c>
      <c r="Y317" s="105">
        <v>8.26</v>
      </c>
      <c r="Z317" s="73" t="s">
        <v>745</v>
      </c>
      <c r="AA317" s="28">
        <v>300</v>
      </c>
    </row>
    <row r="318" spans="1:27" x14ac:dyDescent="0.25">
      <c r="A318" s="4"/>
      <c r="B318" s="98" t="s">
        <v>701</v>
      </c>
      <c r="C318" s="75" t="s">
        <v>686</v>
      </c>
      <c r="D318" s="28" t="s">
        <v>687</v>
      </c>
      <c r="E318" s="28">
        <f t="shared" si="250"/>
        <v>92093</v>
      </c>
      <c r="F318" s="143" t="str">
        <f>INDEX(PV_Summary!$B$18:$B$118,MATCH($E318,PV_Summary!$A$18:$A$118,0))</f>
        <v>S</v>
      </c>
      <c r="G318" s="123">
        <v>32.881248999999997</v>
      </c>
      <c r="H318" s="61">
        <v>-117.241846</v>
      </c>
      <c r="I318" s="44" t="s">
        <v>3</v>
      </c>
      <c r="J318" s="46">
        <f t="shared" si="255"/>
        <v>0.75</v>
      </c>
      <c r="K318" s="100"/>
      <c r="L318" s="44" t="str">
        <f t="shared" si="252"/>
        <v/>
      </c>
      <c r="M318" s="46">
        <f t="shared" si="256"/>
        <v>0.75</v>
      </c>
      <c r="N318" s="46"/>
      <c r="O318" s="41">
        <f t="shared" si="219"/>
        <v>0</v>
      </c>
      <c r="P318" s="42">
        <v>31000</v>
      </c>
      <c r="Q318" s="44" t="s">
        <v>3</v>
      </c>
      <c r="R318" s="28" t="s">
        <v>55</v>
      </c>
      <c r="S318" s="48">
        <f t="shared" si="254"/>
        <v>217000</v>
      </c>
      <c r="T318" s="48">
        <f t="shared" si="206"/>
        <v>0</v>
      </c>
      <c r="U318" s="107" t="s">
        <v>670</v>
      </c>
      <c r="V318" s="165"/>
      <c r="W318" s="28">
        <v>65</v>
      </c>
      <c r="X318" s="105">
        <v>1.24</v>
      </c>
      <c r="Y318" s="105">
        <v>8.26</v>
      </c>
      <c r="Z318" s="73" t="s">
        <v>745</v>
      </c>
      <c r="AA318" s="28">
        <v>500</v>
      </c>
    </row>
    <row r="319" spans="1:27" x14ac:dyDescent="0.25">
      <c r="A319" s="4"/>
      <c r="B319" s="98" t="s">
        <v>702</v>
      </c>
      <c r="C319" s="75" t="s">
        <v>686</v>
      </c>
      <c r="D319" s="28" t="s">
        <v>687</v>
      </c>
      <c r="E319" s="28">
        <f t="shared" si="250"/>
        <v>92093</v>
      </c>
      <c r="F319" s="143" t="str">
        <f>INDEX(PV_Summary!$B$18:$B$118,MATCH($E319,PV_Summary!$A$18:$A$118,0))</f>
        <v>S</v>
      </c>
      <c r="G319" s="123">
        <v>32.880363000000003</v>
      </c>
      <c r="H319" s="61">
        <v>-117.242891</v>
      </c>
      <c r="I319" s="44" t="s">
        <v>3</v>
      </c>
      <c r="J319" s="46">
        <f t="shared" si="255"/>
        <v>0.75</v>
      </c>
      <c r="K319" s="100"/>
      <c r="L319" s="44" t="str">
        <f t="shared" si="252"/>
        <v/>
      </c>
      <c r="M319" s="46">
        <f t="shared" si="256"/>
        <v>0.75</v>
      </c>
      <c r="N319" s="46"/>
      <c r="O319" s="41">
        <f t="shared" si="219"/>
        <v>0</v>
      </c>
      <c r="P319" s="42">
        <v>150000</v>
      </c>
      <c r="Q319" s="44" t="s">
        <v>3</v>
      </c>
      <c r="R319" s="28" t="s">
        <v>55</v>
      </c>
      <c r="S319" s="48">
        <f t="shared" si="254"/>
        <v>1050000</v>
      </c>
      <c r="T319" s="48">
        <f t="shared" si="206"/>
        <v>0</v>
      </c>
      <c r="U319" s="118" t="s">
        <v>679</v>
      </c>
      <c r="V319" s="166"/>
      <c r="W319" s="28">
        <v>65</v>
      </c>
      <c r="X319" s="105">
        <v>1.24</v>
      </c>
      <c r="Y319" s="105">
        <v>8.26</v>
      </c>
      <c r="Z319" s="73" t="s">
        <v>745</v>
      </c>
      <c r="AA319" s="28">
        <v>300</v>
      </c>
    </row>
    <row r="320" spans="1:27" x14ac:dyDescent="0.25">
      <c r="A320" s="4"/>
      <c r="B320" s="98" t="s">
        <v>703</v>
      </c>
      <c r="C320" s="75" t="s">
        <v>686</v>
      </c>
      <c r="D320" s="28" t="s">
        <v>687</v>
      </c>
      <c r="E320" s="28">
        <f t="shared" si="250"/>
        <v>92093</v>
      </c>
      <c r="F320" s="143" t="str">
        <f>INDEX(PV_Summary!$B$18:$B$118,MATCH($E320,PV_Summary!$A$18:$A$118,0))</f>
        <v>S</v>
      </c>
      <c r="G320" s="123">
        <v>32.880305999999997</v>
      </c>
      <c r="H320" s="61">
        <v>-117.24137</v>
      </c>
      <c r="I320" s="44" t="s">
        <v>3</v>
      </c>
      <c r="J320" s="46">
        <f t="shared" si="255"/>
        <v>0.75</v>
      </c>
      <c r="K320" s="100"/>
      <c r="L320" s="44" t="str">
        <f t="shared" si="252"/>
        <v/>
      </c>
      <c r="M320" s="46">
        <f t="shared" si="256"/>
        <v>0.75</v>
      </c>
      <c r="N320" s="46"/>
      <c r="O320" s="41">
        <f t="shared" si="219"/>
        <v>0</v>
      </c>
      <c r="P320" s="42">
        <v>123000</v>
      </c>
      <c r="Q320" s="44" t="s">
        <v>3</v>
      </c>
      <c r="R320" s="28" t="s">
        <v>55</v>
      </c>
      <c r="S320" s="48">
        <f t="shared" si="254"/>
        <v>861000</v>
      </c>
      <c r="T320" s="48">
        <f t="shared" si="206"/>
        <v>0</v>
      </c>
      <c r="U320" s="107" t="s">
        <v>463</v>
      </c>
      <c r="V320" s="165"/>
      <c r="W320" s="28">
        <v>65</v>
      </c>
      <c r="X320" s="105">
        <v>1.24</v>
      </c>
      <c r="Y320" s="105">
        <v>8.26</v>
      </c>
      <c r="Z320" s="73" t="s">
        <v>745</v>
      </c>
      <c r="AA320" s="28">
        <v>500</v>
      </c>
    </row>
    <row r="321" spans="1:27" x14ac:dyDescent="0.25">
      <c r="A321" s="4"/>
      <c r="B321" s="98" t="s">
        <v>704</v>
      </c>
      <c r="C321" s="75" t="s">
        <v>686</v>
      </c>
      <c r="D321" s="28" t="s">
        <v>687</v>
      </c>
      <c r="E321" s="28">
        <f t="shared" si="250"/>
        <v>92093</v>
      </c>
      <c r="F321" s="143" t="str">
        <f>INDEX(PV_Summary!$B$18:$B$118,MATCH($E321,PV_Summary!$A$18:$A$118,0))</f>
        <v>S</v>
      </c>
      <c r="G321" s="123">
        <v>32.879182</v>
      </c>
      <c r="H321" s="61">
        <v>-117.24008499999999</v>
      </c>
      <c r="I321" s="44" t="s">
        <v>3</v>
      </c>
      <c r="J321" s="46">
        <f t="shared" si="255"/>
        <v>0.75</v>
      </c>
      <c r="K321" s="100"/>
      <c r="L321" s="44" t="str">
        <f t="shared" si="252"/>
        <v/>
      </c>
      <c r="M321" s="46">
        <f t="shared" si="256"/>
        <v>0.75</v>
      </c>
      <c r="N321" s="46"/>
      <c r="O321" s="41">
        <f t="shared" si="219"/>
        <v>0</v>
      </c>
      <c r="P321" s="42">
        <v>41000</v>
      </c>
      <c r="Q321" s="44" t="s">
        <v>3</v>
      </c>
      <c r="R321" s="28" t="s">
        <v>55</v>
      </c>
      <c r="S321" s="48">
        <f t="shared" si="254"/>
        <v>287000</v>
      </c>
      <c r="T321" s="48">
        <f t="shared" si="206"/>
        <v>0</v>
      </c>
      <c r="U321" s="107" t="s">
        <v>670</v>
      </c>
      <c r="V321" s="165"/>
      <c r="W321" s="28">
        <v>65</v>
      </c>
      <c r="X321" s="105">
        <v>1.24</v>
      </c>
      <c r="Y321" s="105">
        <v>8.26</v>
      </c>
      <c r="Z321" s="73" t="s">
        <v>745</v>
      </c>
      <c r="AA321" s="28">
        <v>1000</v>
      </c>
    </row>
    <row r="322" spans="1:27" x14ac:dyDescent="0.25">
      <c r="A322" s="4"/>
      <c r="B322" s="98" t="s">
        <v>706</v>
      </c>
      <c r="C322" s="75" t="s">
        <v>686</v>
      </c>
      <c r="D322" s="28" t="s">
        <v>687</v>
      </c>
      <c r="E322" s="28">
        <f t="shared" si="250"/>
        <v>92093</v>
      </c>
      <c r="F322" s="143" t="str">
        <f>INDEX(PV_Summary!$B$18:$B$118,MATCH($E322,PV_Summary!$A$18:$A$118,0))</f>
        <v>S</v>
      </c>
      <c r="G322" s="123">
        <v>32.879862000000003</v>
      </c>
      <c r="H322" s="61">
        <v>-117.23303</v>
      </c>
      <c r="I322" s="44" t="s">
        <v>210</v>
      </c>
      <c r="J322" s="46">
        <f t="shared" si="255"/>
        <v>0.75</v>
      </c>
      <c r="K322" s="100" t="s">
        <v>157</v>
      </c>
      <c r="L322" s="44" t="str">
        <f t="shared" si="252"/>
        <v/>
      </c>
      <c r="M322" s="46">
        <f t="shared" si="256"/>
        <v>0.75</v>
      </c>
      <c r="N322" s="46"/>
      <c r="O322" s="41">
        <f t="shared" si="219"/>
        <v>0</v>
      </c>
      <c r="Q322" s="44" t="s">
        <v>172</v>
      </c>
      <c r="S322" s="48">
        <f t="shared" si="254"/>
        <v>0</v>
      </c>
      <c r="T322" s="48">
        <f t="shared" si="206"/>
        <v>0</v>
      </c>
      <c r="U322" s="107" t="s">
        <v>707</v>
      </c>
      <c r="V322" s="165"/>
      <c r="W322" s="28">
        <v>65</v>
      </c>
      <c r="X322" s="105">
        <v>1.24</v>
      </c>
      <c r="Y322" s="105">
        <v>8.26</v>
      </c>
      <c r="Z322" s="73" t="s">
        <v>745</v>
      </c>
      <c r="AA322" s="28"/>
    </row>
    <row r="323" spans="1:27" x14ac:dyDescent="0.25">
      <c r="A323" s="4"/>
      <c r="B323" s="98" t="s">
        <v>708</v>
      </c>
      <c r="C323" s="75" t="s">
        <v>686</v>
      </c>
      <c r="D323" s="28" t="s">
        <v>687</v>
      </c>
      <c r="E323" s="28">
        <f t="shared" si="250"/>
        <v>92093</v>
      </c>
      <c r="F323" s="143" t="str">
        <f>INDEX(PV_Summary!$B$18:$B$118,MATCH($E323,PV_Summary!$A$18:$A$118,0))</f>
        <v>S</v>
      </c>
      <c r="G323" s="123">
        <v>32.881428999999997</v>
      </c>
      <c r="H323" s="61">
        <v>-117.230059</v>
      </c>
      <c r="I323" s="44" t="s">
        <v>3</v>
      </c>
      <c r="J323" s="46">
        <f t="shared" si="255"/>
        <v>0.75</v>
      </c>
      <c r="K323" s="100"/>
      <c r="L323" s="44" t="str">
        <f t="shared" si="252"/>
        <v/>
      </c>
      <c r="M323" s="46">
        <f t="shared" si="256"/>
        <v>0.75</v>
      </c>
      <c r="N323" s="46"/>
      <c r="O323" s="41">
        <f t="shared" si="219"/>
        <v>0</v>
      </c>
      <c r="P323" s="42">
        <v>70000</v>
      </c>
      <c r="Q323" s="44" t="s">
        <v>3</v>
      </c>
      <c r="R323" s="28" t="s">
        <v>55</v>
      </c>
      <c r="S323" s="48">
        <f t="shared" si="254"/>
        <v>490000</v>
      </c>
      <c r="T323" s="48">
        <f t="shared" ref="T323:T386" si="257">SUMIF($C:$C,$C323,$S:$S)*IF($O323&gt;=1,1,0)</f>
        <v>0</v>
      </c>
      <c r="U323" s="107" t="s">
        <v>687</v>
      </c>
      <c r="V323" s="165"/>
      <c r="W323" s="28">
        <v>273</v>
      </c>
      <c r="X323" s="105">
        <v>1.48</v>
      </c>
      <c r="Y323" s="105">
        <v>9.89</v>
      </c>
      <c r="Z323" s="73" t="s">
        <v>680</v>
      </c>
      <c r="AA323" s="28">
        <v>500</v>
      </c>
    </row>
    <row r="324" spans="1:27" x14ac:dyDescent="0.25">
      <c r="A324" s="4"/>
      <c r="B324" s="98" t="s">
        <v>709</v>
      </c>
      <c r="C324" s="75" t="s">
        <v>686</v>
      </c>
      <c r="D324" s="28" t="s">
        <v>687</v>
      </c>
      <c r="E324" s="28">
        <f t="shared" si="250"/>
        <v>92093</v>
      </c>
      <c r="F324" s="143" t="str">
        <f>INDEX(PV_Summary!$B$18:$B$118,MATCH($E324,PV_Summary!$A$18:$A$118,0))</f>
        <v>S</v>
      </c>
      <c r="G324" s="123">
        <v>32.881062</v>
      </c>
      <c r="H324" s="61">
        <v>-117.227329</v>
      </c>
      <c r="I324" s="44" t="s">
        <v>3</v>
      </c>
      <c r="J324" s="46">
        <f t="shared" si="255"/>
        <v>0.75</v>
      </c>
      <c r="K324" s="100"/>
      <c r="L324" s="44" t="str">
        <f t="shared" si="252"/>
        <v/>
      </c>
      <c r="M324" s="46">
        <f t="shared" si="256"/>
        <v>0.75</v>
      </c>
      <c r="N324" s="46"/>
      <c r="O324" s="41">
        <f t="shared" si="219"/>
        <v>0</v>
      </c>
      <c r="P324" s="42">
        <v>108000</v>
      </c>
      <c r="Q324" s="44" t="s">
        <v>3</v>
      </c>
      <c r="R324" s="28" t="s">
        <v>55</v>
      </c>
      <c r="S324" s="48">
        <f t="shared" si="254"/>
        <v>756000</v>
      </c>
      <c r="T324" s="48">
        <f t="shared" si="257"/>
        <v>0</v>
      </c>
      <c r="U324" s="107" t="s">
        <v>711</v>
      </c>
      <c r="V324" s="165"/>
      <c r="W324" s="28">
        <v>273</v>
      </c>
      <c r="X324" s="105">
        <v>1.48</v>
      </c>
      <c r="Y324" s="105">
        <v>9.89</v>
      </c>
      <c r="Z324" s="73" t="s">
        <v>680</v>
      </c>
      <c r="AA324" s="28">
        <v>100</v>
      </c>
    </row>
    <row r="325" spans="1:27" x14ac:dyDescent="0.25">
      <c r="A325" s="4"/>
      <c r="B325" s="98" t="s">
        <v>710</v>
      </c>
      <c r="C325" s="75" t="s">
        <v>686</v>
      </c>
      <c r="D325" s="28" t="s">
        <v>687</v>
      </c>
      <c r="E325" s="28">
        <f t="shared" si="250"/>
        <v>92093</v>
      </c>
      <c r="F325" s="143" t="str">
        <f>INDEX(PV_Summary!$B$18:$B$118,MATCH($E325,PV_Summary!$A$18:$A$118,0))</f>
        <v>S</v>
      </c>
      <c r="G325" s="123">
        <v>32.881689999999999</v>
      </c>
      <c r="H325" s="61">
        <v>-117.223615</v>
      </c>
      <c r="I325" s="44" t="s">
        <v>3</v>
      </c>
      <c r="J325" s="46">
        <f t="shared" si="255"/>
        <v>0.75</v>
      </c>
      <c r="K325" s="100"/>
      <c r="L325" s="44" t="str">
        <f t="shared" si="252"/>
        <v/>
      </c>
      <c r="M325" s="46">
        <f t="shared" si="256"/>
        <v>0.75</v>
      </c>
      <c r="N325" s="46"/>
      <c r="O325" s="41">
        <f t="shared" si="219"/>
        <v>0</v>
      </c>
      <c r="P325" s="42">
        <v>175000</v>
      </c>
      <c r="Q325" s="44" t="s">
        <v>3</v>
      </c>
      <c r="R325" s="28" t="s">
        <v>55</v>
      </c>
      <c r="S325" s="48">
        <f t="shared" si="254"/>
        <v>1225000</v>
      </c>
      <c r="T325" s="48">
        <f t="shared" si="257"/>
        <v>0</v>
      </c>
      <c r="U325" s="107" t="s">
        <v>711</v>
      </c>
      <c r="V325" s="165"/>
      <c r="W325" s="28">
        <v>273</v>
      </c>
      <c r="X325" s="105">
        <v>1.48</v>
      </c>
      <c r="Y325" s="105">
        <v>9.89</v>
      </c>
      <c r="Z325" s="73" t="s">
        <v>680</v>
      </c>
      <c r="AA325" s="28">
        <v>100</v>
      </c>
    </row>
    <row r="326" spans="1:27" x14ac:dyDescent="0.25">
      <c r="A326" s="4"/>
      <c r="B326" s="98" t="s">
        <v>712</v>
      </c>
      <c r="C326" s="75" t="s">
        <v>686</v>
      </c>
      <c r="D326" s="28" t="s">
        <v>687</v>
      </c>
      <c r="E326" s="28">
        <f t="shared" si="250"/>
        <v>92093</v>
      </c>
      <c r="F326" s="143" t="str">
        <f>INDEX(PV_Summary!$B$18:$B$118,MATCH($E326,PV_Summary!$A$18:$A$118,0))</f>
        <v>S</v>
      </c>
      <c r="G326" s="123">
        <v>32.879638</v>
      </c>
      <c r="H326" s="61">
        <v>-117.226095</v>
      </c>
      <c r="I326" s="44" t="s">
        <v>36</v>
      </c>
      <c r="J326" s="46">
        <f t="shared" ref="J326:J339" si="258">IF(O326&gt;1,Sym_Scl_Aggr_Parent,IF(O326&lt;1,Sym_Scl_Aggr_Child,Sym_Scl_Normal))</f>
        <v>0.75</v>
      </c>
      <c r="K326" s="100"/>
      <c r="L326" s="44" t="str">
        <f t="shared" ref="L326:L339" si="259">IF(O326&gt;1,"Total","")</f>
        <v/>
      </c>
      <c r="M326" s="46">
        <f t="shared" ref="M326:M339" si="260">IF(O326&gt;1,Label_Scl_Aggr_Parent,IF(O326&lt;1,Label_Scl_Aggr_Child,Label_Scl_Normal))</f>
        <v>0.75</v>
      </c>
      <c r="N326" s="46"/>
      <c r="O326" s="41">
        <f t="shared" si="219"/>
        <v>0</v>
      </c>
      <c r="P326" s="42">
        <v>56000</v>
      </c>
      <c r="Q326" s="44" t="s">
        <v>36</v>
      </c>
      <c r="R326" s="28" t="s">
        <v>55</v>
      </c>
      <c r="S326" s="48">
        <f t="shared" si="254"/>
        <v>392000</v>
      </c>
      <c r="T326" s="48">
        <f t="shared" si="257"/>
        <v>0</v>
      </c>
      <c r="U326" s="107" t="s">
        <v>731</v>
      </c>
      <c r="V326" s="165"/>
      <c r="W326" s="28">
        <v>273</v>
      </c>
      <c r="X326" s="105">
        <v>1.48</v>
      </c>
      <c r="Y326" s="105">
        <v>9.89</v>
      </c>
      <c r="Z326" s="73" t="s">
        <v>680</v>
      </c>
      <c r="AA326" s="28">
        <v>100</v>
      </c>
    </row>
    <row r="327" spans="1:27" x14ac:dyDescent="0.25">
      <c r="A327" s="4"/>
      <c r="B327" s="98" t="s">
        <v>714</v>
      </c>
      <c r="C327" s="75" t="s">
        <v>686</v>
      </c>
      <c r="D327" s="28" t="s">
        <v>687</v>
      </c>
      <c r="E327" s="28">
        <f t="shared" si="250"/>
        <v>92093</v>
      </c>
      <c r="F327" s="143" t="str">
        <f>INDEX(PV_Summary!$B$18:$B$118,MATCH($E327,PV_Summary!$A$18:$A$118,0))</f>
        <v>S</v>
      </c>
      <c r="G327" s="123">
        <v>32.879207000000001</v>
      </c>
      <c r="H327" s="61">
        <v>-117.224284</v>
      </c>
      <c r="I327" s="44" t="s">
        <v>3</v>
      </c>
      <c r="J327" s="46">
        <f t="shared" si="258"/>
        <v>0.75</v>
      </c>
      <c r="K327" s="100"/>
      <c r="L327" s="44" t="str">
        <f t="shared" si="259"/>
        <v/>
      </c>
      <c r="M327" s="46">
        <f t="shared" si="260"/>
        <v>0.75</v>
      </c>
      <c r="N327" s="46"/>
      <c r="O327" s="41">
        <f t="shared" si="219"/>
        <v>0</v>
      </c>
      <c r="P327" s="42">
        <v>91000</v>
      </c>
      <c r="Q327" s="44" t="s">
        <v>3</v>
      </c>
      <c r="R327" s="28" t="s">
        <v>55</v>
      </c>
      <c r="S327" s="48">
        <f t="shared" si="254"/>
        <v>637000</v>
      </c>
      <c r="T327" s="48">
        <f t="shared" si="257"/>
        <v>0</v>
      </c>
      <c r="U327" s="107" t="s">
        <v>679</v>
      </c>
      <c r="V327" s="165"/>
      <c r="W327" s="28">
        <v>273</v>
      </c>
      <c r="X327" s="105">
        <v>1.48</v>
      </c>
      <c r="Y327" s="105">
        <v>9.89</v>
      </c>
      <c r="Z327" s="73" t="s">
        <v>680</v>
      </c>
      <c r="AA327" s="28">
        <v>1000</v>
      </c>
    </row>
    <row r="328" spans="1:27" x14ac:dyDescent="0.25">
      <c r="A328" s="4"/>
      <c r="B328" s="98" t="s">
        <v>715</v>
      </c>
      <c r="C328" s="75" t="s">
        <v>686</v>
      </c>
      <c r="D328" s="28" t="s">
        <v>687</v>
      </c>
      <c r="E328" s="28">
        <f t="shared" si="250"/>
        <v>92093</v>
      </c>
      <c r="F328" s="143" t="str">
        <f>INDEX(PV_Summary!$B$18:$B$118,MATCH($E328,PV_Summary!$A$18:$A$118,0))</f>
        <v>S</v>
      </c>
      <c r="G328" s="123">
        <v>32.880291999999997</v>
      </c>
      <c r="H328" s="61">
        <v>-117.222531</v>
      </c>
      <c r="I328" s="44" t="s">
        <v>3</v>
      </c>
      <c r="J328" s="46">
        <f t="shared" si="258"/>
        <v>0.75</v>
      </c>
      <c r="K328" s="100"/>
      <c r="L328" s="44" t="str">
        <f t="shared" si="259"/>
        <v/>
      </c>
      <c r="M328" s="46">
        <f t="shared" si="260"/>
        <v>0.75</v>
      </c>
      <c r="N328" s="46"/>
      <c r="O328" s="41">
        <f t="shared" si="219"/>
        <v>0</v>
      </c>
      <c r="P328" s="42">
        <v>76000</v>
      </c>
      <c r="Q328" s="44" t="s">
        <v>3</v>
      </c>
      <c r="R328" s="28" t="s">
        <v>55</v>
      </c>
      <c r="S328" s="48">
        <f t="shared" si="254"/>
        <v>532000</v>
      </c>
      <c r="T328" s="48">
        <f t="shared" si="257"/>
        <v>0</v>
      </c>
      <c r="U328" s="107" t="s">
        <v>679</v>
      </c>
      <c r="V328" s="165"/>
      <c r="W328" s="28">
        <v>273</v>
      </c>
      <c r="X328" s="105">
        <v>1.48</v>
      </c>
      <c r="Y328" s="105">
        <v>9.89</v>
      </c>
      <c r="Z328" s="73" t="s">
        <v>680</v>
      </c>
      <c r="AA328" s="28">
        <v>400</v>
      </c>
    </row>
    <row r="329" spans="1:27" x14ac:dyDescent="0.25">
      <c r="A329" s="4"/>
      <c r="B329" s="98" t="s">
        <v>716</v>
      </c>
      <c r="C329" s="75" t="s">
        <v>686</v>
      </c>
      <c r="D329" s="28" t="s">
        <v>687</v>
      </c>
      <c r="E329" s="28">
        <f t="shared" si="250"/>
        <v>92093</v>
      </c>
      <c r="F329" s="143" t="str">
        <f>INDEX(PV_Summary!$B$18:$B$118,MATCH($E329,PV_Summary!$A$18:$A$118,0))</f>
        <v>S</v>
      </c>
      <c r="G329" s="123">
        <v>32.879956999999997</v>
      </c>
      <c r="H329" s="61">
        <v>-117.22063</v>
      </c>
      <c r="I329" s="44" t="s">
        <v>3</v>
      </c>
      <c r="J329" s="46">
        <f t="shared" si="258"/>
        <v>0.75</v>
      </c>
      <c r="K329" s="100"/>
      <c r="L329" s="44" t="str">
        <f t="shared" si="259"/>
        <v/>
      </c>
      <c r="M329" s="46">
        <f t="shared" si="260"/>
        <v>0.75</v>
      </c>
      <c r="N329" s="46"/>
      <c r="O329" s="41">
        <f t="shared" si="219"/>
        <v>0</v>
      </c>
      <c r="P329" s="42">
        <v>47000</v>
      </c>
      <c r="Q329" s="44" t="s">
        <v>3</v>
      </c>
      <c r="R329" s="28" t="s">
        <v>55</v>
      </c>
      <c r="S329" s="48">
        <f t="shared" si="254"/>
        <v>329000</v>
      </c>
      <c r="T329" s="48">
        <f t="shared" si="257"/>
        <v>0</v>
      </c>
      <c r="U329" s="107" t="s">
        <v>717</v>
      </c>
      <c r="V329" s="165"/>
      <c r="W329" s="28">
        <v>273</v>
      </c>
      <c r="X329" s="105">
        <v>1.48</v>
      </c>
      <c r="Y329" s="105">
        <v>9.89</v>
      </c>
      <c r="Z329" s="73" t="s">
        <v>680</v>
      </c>
      <c r="AA329" s="28">
        <v>0</v>
      </c>
    </row>
    <row r="330" spans="1:27" x14ac:dyDescent="0.25">
      <c r="A330" s="4"/>
      <c r="B330" s="98" t="s">
        <v>719</v>
      </c>
      <c r="C330" s="75" t="s">
        <v>686</v>
      </c>
      <c r="D330" s="28" t="s">
        <v>687</v>
      </c>
      <c r="E330" s="28">
        <f t="shared" si="250"/>
        <v>92093</v>
      </c>
      <c r="F330" s="143" t="str">
        <f>INDEX(PV_Summary!$B$18:$B$118,MATCH($E330,PV_Summary!$A$18:$A$118,0))</f>
        <v>S</v>
      </c>
      <c r="G330" s="123">
        <v>32.880912000000002</v>
      </c>
      <c r="H330" s="61">
        <v>-117.21947900000001</v>
      </c>
      <c r="I330" s="44" t="s">
        <v>3</v>
      </c>
      <c r="J330" s="46">
        <f t="shared" si="258"/>
        <v>0.75</v>
      </c>
      <c r="K330" s="100"/>
      <c r="L330" s="44" t="str">
        <f t="shared" si="259"/>
        <v/>
      </c>
      <c r="M330" s="46">
        <f t="shared" si="260"/>
        <v>0.75</v>
      </c>
      <c r="N330" s="46"/>
      <c r="O330" s="41">
        <f t="shared" si="219"/>
        <v>0</v>
      </c>
      <c r="P330" s="42">
        <v>144000</v>
      </c>
      <c r="Q330" s="44" t="s">
        <v>3</v>
      </c>
      <c r="R330" s="28" t="s">
        <v>55</v>
      </c>
      <c r="S330" s="48">
        <f t="shared" si="254"/>
        <v>1008000</v>
      </c>
      <c r="T330" s="48">
        <f t="shared" si="257"/>
        <v>0</v>
      </c>
      <c r="U330" s="119" t="s">
        <v>718</v>
      </c>
      <c r="V330" s="165"/>
      <c r="W330" s="28">
        <v>273</v>
      </c>
      <c r="X330" s="105">
        <v>1.48</v>
      </c>
      <c r="Y330" s="105">
        <v>9.89</v>
      </c>
      <c r="Z330" s="73" t="s">
        <v>680</v>
      </c>
      <c r="AA330" s="28">
        <v>0</v>
      </c>
    </row>
    <row r="331" spans="1:27" x14ac:dyDescent="0.25">
      <c r="A331" s="4"/>
      <c r="B331" s="98" t="s">
        <v>720</v>
      </c>
      <c r="C331" s="75" t="s">
        <v>686</v>
      </c>
      <c r="D331" s="28" t="s">
        <v>687</v>
      </c>
      <c r="E331" s="28">
        <f t="shared" si="250"/>
        <v>92093</v>
      </c>
      <c r="F331" s="143" t="str">
        <f>INDEX(PV_Summary!$B$18:$B$118,MATCH($E331,PV_Summary!$A$18:$A$118,0))</f>
        <v>S</v>
      </c>
      <c r="G331" s="123">
        <v>32.879477000000001</v>
      </c>
      <c r="H331" s="61">
        <v>-117.219211</v>
      </c>
      <c r="I331" s="44" t="s">
        <v>3</v>
      </c>
      <c r="J331" s="46">
        <f t="shared" si="258"/>
        <v>0.75</v>
      </c>
      <c r="K331" s="100"/>
      <c r="L331" s="44" t="str">
        <f t="shared" si="259"/>
        <v/>
      </c>
      <c r="M331" s="46">
        <f t="shared" si="260"/>
        <v>0.75</v>
      </c>
      <c r="N331" s="46"/>
      <c r="O331" s="41">
        <f t="shared" si="219"/>
        <v>0</v>
      </c>
      <c r="P331" s="42">
        <v>190000</v>
      </c>
      <c r="Q331" s="44" t="s">
        <v>3</v>
      </c>
      <c r="R331" s="28" t="s">
        <v>55</v>
      </c>
      <c r="S331" s="48">
        <f t="shared" si="254"/>
        <v>1330000</v>
      </c>
      <c r="T331" s="48">
        <f t="shared" si="257"/>
        <v>0</v>
      </c>
      <c r="U331" s="107" t="s">
        <v>718</v>
      </c>
      <c r="V331" s="165"/>
      <c r="W331" s="28">
        <v>273</v>
      </c>
      <c r="X331" s="105">
        <v>1.48</v>
      </c>
      <c r="Y331" s="105">
        <v>9.89</v>
      </c>
      <c r="Z331" s="73" t="s">
        <v>680</v>
      </c>
      <c r="AA331" s="28">
        <v>0</v>
      </c>
    </row>
    <row r="332" spans="1:27" x14ac:dyDescent="0.25">
      <c r="A332" s="4"/>
      <c r="B332" s="98" t="s">
        <v>721</v>
      </c>
      <c r="C332" s="75" t="s">
        <v>686</v>
      </c>
      <c r="D332" s="28" t="s">
        <v>687</v>
      </c>
      <c r="E332" s="28">
        <f t="shared" si="250"/>
        <v>92093</v>
      </c>
      <c r="F332" s="143" t="str">
        <f>INDEX(PV_Summary!$B$18:$B$118,MATCH($E332,PV_Summary!$A$18:$A$118,0))</f>
        <v>S</v>
      </c>
      <c r="G332" s="123">
        <v>32.878101000000001</v>
      </c>
      <c r="H332" s="61">
        <v>-117.22079100000001</v>
      </c>
      <c r="I332" s="44" t="s">
        <v>3</v>
      </c>
      <c r="J332" s="46">
        <f t="shared" si="258"/>
        <v>0.75</v>
      </c>
      <c r="K332" s="100"/>
      <c r="L332" s="44" t="str">
        <f t="shared" si="259"/>
        <v/>
      </c>
      <c r="M332" s="46">
        <f t="shared" si="260"/>
        <v>0.75</v>
      </c>
      <c r="N332" s="46"/>
      <c r="O332" s="41">
        <f t="shared" si="219"/>
        <v>0</v>
      </c>
      <c r="P332" s="42">
        <v>168000</v>
      </c>
      <c r="Q332" s="44" t="s">
        <v>3</v>
      </c>
      <c r="R332" s="28" t="s">
        <v>55</v>
      </c>
      <c r="S332" s="48">
        <f t="shared" si="254"/>
        <v>1176000</v>
      </c>
      <c r="T332" s="48">
        <f t="shared" si="257"/>
        <v>0</v>
      </c>
      <c r="U332" s="107" t="s">
        <v>679</v>
      </c>
      <c r="V332" s="165"/>
      <c r="W332" s="28">
        <v>273</v>
      </c>
      <c r="X332" s="105">
        <v>1.48</v>
      </c>
      <c r="Y332" s="105">
        <v>9.89</v>
      </c>
      <c r="Z332" s="73" t="s">
        <v>680</v>
      </c>
      <c r="AA332" s="28">
        <v>500</v>
      </c>
    </row>
    <row r="333" spans="1:27" x14ac:dyDescent="0.25">
      <c r="A333" s="4"/>
      <c r="B333" s="98" t="s">
        <v>722</v>
      </c>
      <c r="C333" s="75" t="s">
        <v>686</v>
      </c>
      <c r="D333" s="28" t="s">
        <v>687</v>
      </c>
      <c r="E333" s="28">
        <f t="shared" si="250"/>
        <v>92093</v>
      </c>
      <c r="F333" s="143" t="str">
        <f>INDEX(PV_Summary!$B$18:$B$118,MATCH($E333,PV_Summary!$A$18:$A$118,0))</f>
        <v>S</v>
      </c>
      <c r="G333" s="123">
        <v>32.877761</v>
      </c>
      <c r="H333" s="61">
        <v>-117.218869</v>
      </c>
      <c r="I333" s="44" t="s">
        <v>3</v>
      </c>
      <c r="J333" s="46">
        <f t="shared" si="258"/>
        <v>0.75</v>
      </c>
      <c r="K333" s="100"/>
      <c r="L333" s="44" t="str">
        <f t="shared" si="259"/>
        <v/>
      </c>
      <c r="M333" s="46">
        <f t="shared" si="260"/>
        <v>0.75</v>
      </c>
      <c r="N333" s="46"/>
      <c r="O333" s="41">
        <f t="shared" si="219"/>
        <v>0</v>
      </c>
      <c r="P333" s="42">
        <v>97000</v>
      </c>
      <c r="Q333" s="44" t="s">
        <v>3</v>
      </c>
      <c r="R333" s="28" t="s">
        <v>55</v>
      </c>
      <c r="S333" s="48">
        <f t="shared" si="254"/>
        <v>679000</v>
      </c>
      <c r="T333" s="48">
        <f t="shared" si="257"/>
        <v>0</v>
      </c>
      <c r="U333" s="107" t="s">
        <v>679</v>
      </c>
      <c r="V333" s="165"/>
      <c r="W333" s="28">
        <v>273</v>
      </c>
      <c r="X333" s="105">
        <v>1.48</v>
      </c>
      <c r="Y333" s="105">
        <v>9.89</v>
      </c>
      <c r="Z333" s="73" t="s">
        <v>680</v>
      </c>
      <c r="AA333" s="28">
        <v>0</v>
      </c>
    </row>
    <row r="334" spans="1:27" x14ac:dyDescent="0.25">
      <c r="A334" s="4"/>
      <c r="B334" s="98" t="s">
        <v>723</v>
      </c>
      <c r="C334" s="75" t="s">
        <v>686</v>
      </c>
      <c r="D334" s="28" t="s">
        <v>687</v>
      </c>
      <c r="E334" s="28">
        <f t="shared" si="250"/>
        <v>92093</v>
      </c>
      <c r="F334" s="143" t="str">
        <f>INDEX(PV_Summary!$B$18:$B$118,MATCH($E334,PV_Summary!$A$18:$A$118,0))</f>
        <v>S</v>
      </c>
      <c r="G334" s="123">
        <v>32.875957999999997</v>
      </c>
      <c r="H334" s="61">
        <v>-117.21887700000001</v>
      </c>
      <c r="I334" s="44" t="s">
        <v>3</v>
      </c>
      <c r="J334" s="46">
        <f t="shared" si="258"/>
        <v>0.75</v>
      </c>
      <c r="K334" s="100"/>
      <c r="L334" s="44" t="str">
        <f t="shared" si="259"/>
        <v/>
      </c>
      <c r="M334" s="46">
        <f t="shared" si="260"/>
        <v>0.75</v>
      </c>
      <c r="N334" s="46"/>
      <c r="O334" s="41">
        <f t="shared" si="219"/>
        <v>0</v>
      </c>
      <c r="P334" s="42">
        <v>89000</v>
      </c>
      <c r="Q334" s="44" t="s">
        <v>3</v>
      </c>
      <c r="R334" s="28" t="s">
        <v>55</v>
      </c>
      <c r="S334" s="48">
        <f t="shared" si="254"/>
        <v>623000</v>
      </c>
      <c r="T334" s="48">
        <f t="shared" si="257"/>
        <v>0</v>
      </c>
      <c r="U334" s="107" t="s">
        <v>679</v>
      </c>
      <c r="V334" s="165"/>
      <c r="W334" s="28">
        <v>273</v>
      </c>
      <c r="X334" s="105">
        <v>1.48</v>
      </c>
      <c r="Y334" s="105">
        <v>9.89</v>
      </c>
      <c r="Z334" s="73" t="s">
        <v>680</v>
      </c>
      <c r="AA334" s="28">
        <v>100</v>
      </c>
    </row>
    <row r="335" spans="1:27" x14ac:dyDescent="0.25">
      <c r="A335" s="4"/>
      <c r="B335" s="98" t="s">
        <v>724</v>
      </c>
      <c r="C335" s="75" t="s">
        <v>686</v>
      </c>
      <c r="D335" s="28" t="s">
        <v>687</v>
      </c>
      <c r="E335" s="28">
        <f t="shared" si="250"/>
        <v>92093</v>
      </c>
      <c r="F335" s="143" t="str">
        <f>INDEX(PV_Summary!$B$18:$B$118,MATCH($E335,PV_Summary!$A$18:$A$118,0))</f>
        <v>S</v>
      </c>
      <c r="G335" s="123">
        <v>32.876309999999997</v>
      </c>
      <c r="H335" s="61">
        <v>-117.222556</v>
      </c>
      <c r="I335" s="44" t="s">
        <v>3</v>
      </c>
      <c r="J335" s="46">
        <f t="shared" si="258"/>
        <v>0.75</v>
      </c>
      <c r="K335" s="100"/>
      <c r="L335" s="44" t="str">
        <f t="shared" si="259"/>
        <v/>
      </c>
      <c r="M335" s="46">
        <f t="shared" si="260"/>
        <v>0.75</v>
      </c>
      <c r="N335" s="46"/>
      <c r="O335" s="41">
        <f t="shared" si="219"/>
        <v>0</v>
      </c>
      <c r="P335" s="42">
        <v>55000</v>
      </c>
      <c r="Q335" s="44" t="s">
        <v>3</v>
      </c>
      <c r="R335" s="28" t="s">
        <v>55</v>
      </c>
      <c r="S335" s="48">
        <f t="shared" si="254"/>
        <v>385000</v>
      </c>
      <c r="T335" s="48">
        <f t="shared" si="257"/>
        <v>0</v>
      </c>
      <c r="U335" s="107" t="s">
        <v>679</v>
      </c>
      <c r="V335" s="165"/>
      <c r="W335" s="28">
        <v>273</v>
      </c>
      <c r="X335" s="105">
        <v>1.48</v>
      </c>
      <c r="Y335" s="105">
        <v>9.89</v>
      </c>
      <c r="Z335" s="73" t="s">
        <v>680</v>
      </c>
      <c r="AA335" s="28">
        <v>100</v>
      </c>
    </row>
    <row r="336" spans="1:27" x14ac:dyDescent="0.25">
      <c r="A336" s="4"/>
      <c r="B336" s="98" t="s">
        <v>961</v>
      </c>
      <c r="C336" s="75" t="s">
        <v>686</v>
      </c>
      <c r="D336" s="28" t="s">
        <v>687</v>
      </c>
      <c r="E336" s="28">
        <f t="shared" si="250"/>
        <v>92093</v>
      </c>
      <c r="F336" s="143" t="str">
        <f>INDEX(PV_Summary!$B$18:$B$118,MATCH($E336,PV_Summary!$A$18:$A$118,0))</f>
        <v>S</v>
      </c>
      <c r="G336" s="123">
        <v>32.875202999999999</v>
      </c>
      <c r="H336" s="61">
        <v>-117.21968200000001</v>
      </c>
      <c r="I336" s="44" t="s">
        <v>3</v>
      </c>
      <c r="J336" s="46">
        <f t="shared" si="258"/>
        <v>0.75</v>
      </c>
      <c r="K336" s="100"/>
      <c r="L336" s="44" t="str">
        <f t="shared" si="259"/>
        <v/>
      </c>
      <c r="M336" s="46">
        <f t="shared" si="260"/>
        <v>0.75</v>
      </c>
      <c r="N336" s="46"/>
      <c r="O336" s="41">
        <f t="shared" si="219"/>
        <v>0</v>
      </c>
      <c r="P336" s="42">
        <v>85000</v>
      </c>
      <c r="Q336" s="44" t="s">
        <v>3</v>
      </c>
      <c r="R336" s="28" t="s">
        <v>55</v>
      </c>
      <c r="S336" s="48">
        <f t="shared" si="254"/>
        <v>595000</v>
      </c>
      <c r="T336" s="48">
        <f t="shared" si="257"/>
        <v>0</v>
      </c>
      <c r="U336" s="107" t="s">
        <v>725</v>
      </c>
      <c r="V336" s="165"/>
      <c r="W336" s="28">
        <v>273</v>
      </c>
      <c r="X336" s="105">
        <v>1.48</v>
      </c>
      <c r="Y336" s="105">
        <v>9.89</v>
      </c>
      <c r="Z336" s="73" t="s">
        <v>745</v>
      </c>
      <c r="AA336" s="28">
        <v>50</v>
      </c>
    </row>
    <row r="337" spans="1:27" x14ac:dyDescent="0.25">
      <c r="A337" s="4"/>
      <c r="B337" s="98" t="s">
        <v>713</v>
      </c>
      <c r="C337" s="75" t="s">
        <v>686</v>
      </c>
      <c r="D337" s="28" t="s">
        <v>687</v>
      </c>
      <c r="E337" s="28">
        <f t="shared" si="250"/>
        <v>92093</v>
      </c>
      <c r="F337" s="143" t="str">
        <f>INDEX(PV_Summary!$B$18:$B$118,MATCH($E337,PV_Summary!$A$18:$A$118,0))</f>
        <v>S</v>
      </c>
      <c r="G337" s="123">
        <v>32.875402999999999</v>
      </c>
      <c r="H337" s="61">
        <v>-117.22397100000001</v>
      </c>
      <c r="I337" s="44" t="s">
        <v>36</v>
      </c>
      <c r="J337" s="46">
        <f t="shared" si="258"/>
        <v>0.75</v>
      </c>
      <c r="K337" s="100"/>
      <c r="L337" s="44" t="str">
        <f t="shared" si="259"/>
        <v/>
      </c>
      <c r="M337" s="46">
        <f t="shared" si="260"/>
        <v>0.75</v>
      </c>
      <c r="N337" s="46"/>
      <c r="O337" s="41">
        <f t="shared" si="219"/>
        <v>0</v>
      </c>
      <c r="P337" s="42">
        <v>53000</v>
      </c>
      <c r="Q337" s="44" t="s">
        <v>36</v>
      </c>
      <c r="R337" s="28" t="s">
        <v>55</v>
      </c>
      <c r="S337" s="48">
        <f t="shared" si="254"/>
        <v>371000</v>
      </c>
      <c r="T337" s="48">
        <f t="shared" si="257"/>
        <v>0</v>
      </c>
      <c r="U337" s="107" t="s">
        <v>726</v>
      </c>
      <c r="V337" s="165"/>
      <c r="W337" s="28">
        <v>273</v>
      </c>
      <c r="X337" s="105">
        <v>1.48</v>
      </c>
      <c r="Y337" s="105">
        <v>9.89</v>
      </c>
      <c r="Z337" s="73" t="s">
        <v>745</v>
      </c>
      <c r="AA337" s="28">
        <v>50</v>
      </c>
    </row>
    <row r="338" spans="1:27" x14ac:dyDescent="0.25">
      <c r="A338" s="4"/>
      <c r="B338" s="98" t="s">
        <v>727</v>
      </c>
      <c r="C338" s="75" t="s">
        <v>686</v>
      </c>
      <c r="D338" s="28" t="s">
        <v>687</v>
      </c>
      <c r="E338" s="28">
        <f t="shared" si="250"/>
        <v>92093</v>
      </c>
      <c r="F338" s="143" t="str">
        <f>INDEX(PV_Summary!$B$18:$B$118,MATCH($E338,PV_Summary!$A$18:$A$118,0))</f>
        <v>S</v>
      </c>
      <c r="G338" s="123">
        <v>32.873193999999998</v>
      </c>
      <c r="H338" s="61">
        <v>-117.242127</v>
      </c>
      <c r="I338" s="44" t="s">
        <v>3</v>
      </c>
      <c r="J338" s="46">
        <f t="shared" si="258"/>
        <v>0.75</v>
      </c>
      <c r="K338" s="100"/>
      <c r="L338" s="44" t="str">
        <f t="shared" si="259"/>
        <v/>
      </c>
      <c r="M338" s="46">
        <f t="shared" si="260"/>
        <v>0.75</v>
      </c>
      <c r="N338" s="46"/>
      <c r="O338" s="41">
        <f t="shared" si="219"/>
        <v>0</v>
      </c>
      <c r="P338" s="42">
        <v>147000</v>
      </c>
      <c r="Q338" s="44" t="s">
        <v>3</v>
      </c>
      <c r="R338" s="28" t="s">
        <v>55</v>
      </c>
      <c r="S338" s="48">
        <f t="shared" si="254"/>
        <v>1029000</v>
      </c>
      <c r="T338" s="48">
        <f t="shared" si="257"/>
        <v>0</v>
      </c>
      <c r="U338" s="107" t="s">
        <v>670</v>
      </c>
      <c r="V338" s="165"/>
      <c r="W338" s="28">
        <v>65</v>
      </c>
      <c r="X338" s="105">
        <v>1.24</v>
      </c>
      <c r="Y338" s="105">
        <v>8.26</v>
      </c>
      <c r="Z338" s="73" t="s">
        <v>745</v>
      </c>
      <c r="AA338" s="28">
        <v>200</v>
      </c>
    </row>
    <row r="339" spans="1:27" x14ac:dyDescent="0.25">
      <c r="A339" s="4"/>
      <c r="B339" s="98" t="s">
        <v>728</v>
      </c>
      <c r="C339" s="75" t="s">
        <v>686</v>
      </c>
      <c r="D339" s="28" t="s">
        <v>687</v>
      </c>
      <c r="E339" s="28">
        <f t="shared" si="250"/>
        <v>92093</v>
      </c>
      <c r="F339" s="143" t="str">
        <f>INDEX(PV_Summary!$B$18:$B$118,MATCH($E339,PV_Summary!$A$18:$A$118,0))</f>
        <v>S</v>
      </c>
      <c r="G339" s="123">
        <v>32.872050999999999</v>
      </c>
      <c r="H339" s="61">
        <v>-117.242801</v>
      </c>
      <c r="I339" s="44" t="s">
        <v>3</v>
      </c>
      <c r="J339" s="46">
        <f t="shared" si="258"/>
        <v>0.75</v>
      </c>
      <c r="K339" s="100"/>
      <c r="L339" s="44" t="str">
        <f t="shared" si="259"/>
        <v/>
      </c>
      <c r="M339" s="46">
        <f t="shared" si="260"/>
        <v>0.75</v>
      </c>
      <c r="N339" s="46"/>
      <c r="O339" s="41">
        <f t="shared" si="219"/>
        <v>0</v>
      </c>
      <c r="P339" s="42">
        <v>140000</v>
      </c>
      <c r="Q339" s="44" t="s">
        <v>3</v>
      </c>
      <c r="R339" s="28" t="s">
        <v>55</v>
      </c>
      <c r="S339" s="48">
        <f t="shared" si="254"/>
        <v>980000</v>
      </c>
      <c r="T339" s="48">
        <f t="shared" si="257"/>
        <v>0</v>
      </c>
      <c r="U339" s="107" t="s">
        <v>670</v>
      </c>
      <c r="V339" s="165"/>
      <c r="W339" s="28">
        <v>65</v>
      </c>
      <c r="X339" s="105">
        <v>1.24</v>
      </c>
      <c r="Y339" s="105">
        <v>8.26</v>
      </c>
      <c r="Z339" s="73" t="s">
        <v>745</v>
      </c>
      <c r="AA339" s="28">
        <v>200</v>
      </c>
    </row>
    <row r="340" spans="1:27" x14ac:dyDescent="0.25">
      <c r="A340" s="4"/>
      <c r="B340" s="62" t="s">
        <v>729</v>
      </c>
      <c r="C340" s="75" t="s">
        <v>730</v>
      </c>
      <c r="D340" s="28" t="s">
        <v>679</v>
      </c>
      <c r="E340" s="28">
        <f t="shared" si="250"/>
        <v>92037</v>
      </c>
      <c r="F340" s="143" t="str">
        <f>INDEX(PV_Summary!$B$18:$B$118,MATCH($E340,PV_Summary!$A$18:$A$118,0))</f>
        <v>S</v>
      </c>
      <c r="G340" s="123">
        <v>32.868679</v>
      </c>
      <c r="H340" s="61">
        <v>-117.231937</v>
      </c>
      <c r="I340" s="44" t="s">
        <v>62</v>
      </c>
      <c r="J340" s="46">
        <f t="shared" ref="J340:J346" ca="1" si="261">IF(O340&gt;1,Sym_Scl_Aggr_Parent,IF(O340&lt;1,Sym_Scl_Aggr_Child,Sym_Scl_Normal))</f>
        <v>1.5</v>
      </c>
      <c r="K340" s="100"/>
      <c r="L340" s="44" t="str">
        <f t="shared" ref="L340:L346" ca="1" si="262">IF(O340&gt;1,"Total","")</f>
        <v>Total</v>
      </c>
      <c r="M340" s="46">
        <f t="shared" ref="M340:M346" ca="1" si="263">IF(O340&gt;1,Label_Scl_Aggr_Parent,IF(O340&lt;1,Label_Scl_Aggr_Child,Label_Scl_Normal))</f>
        <v>1.25</v>
      </c>
      <c r="N340" s="46"/>
      <c r="O340" s="41">
        <f t="shared" ca="1" si="219"/>
        <v>6</v>
      </c>
      <c r="Q340" s="44"/>
      <c r="S340" s="48">
        <f t="shared" si="254"/>
        <v>0</v>
      </c>
      <c r="T340" s="48">
        <f t="shared" ca="1" si="257"/>
        <v>1778000</v>
      </c>
      <c r="W340" s="28">
        <v>268</v>
      </c>
      <c r="X340" s="105">
        <v>1.49</v>
      </c>
      <c r="Y340" s="105">
        <v>9.9499999999999993</v>
      </c>
      <c r="Z340" s="73" t="s">
        <v>680</v>
      </c>
      <c r="AA340" s="28"/>
    </row>
    <row r="341" spans="1:27" x14ac:dyDescent="0.25">
      <c r="A341" s="4"/>
      <c r="B341" s="98" t="s">
        <v>732</v>
      </c>
      <c r="C341" s="75" t="s">
        <v>730</v>
      </c>
      <c r="D341" s="28" t="s">
        <v>679</v>
      </c>
      <c r="E341" s="28">
        <f t="shared" si="250"/>
        <v>92037</v>
      </c>
      <c r="F341" s="143" t="str">
        <f>INDEX(PV_Summary!$B$18:$B$118,MATCH($E341,PV_Summary!$A$18:$A$118,0))</f>
        <v>S</v>
      </c>
      <c r="G341" s="123">
        <v>32.869335999999997</v>
      </c>
      <c r="H341" s="61">
        <v>-117.233377</v>
      </c>
      <c r="I341" s="120" t="s">
        <v>37</v>
      </c>
      <c r="J341" s="46">
        <f t="shared" si="261"/>
        <v>0.75</v>
      </c>
      <c r="K341" s="100"/>
      <c r="L341" s="44" t="str">
        <f t="shared" si="262"/>
        <v/>
      </c>
      <c r="M341" s="46">
        <f t="shared" si="263"/>
        <v>0.75</v>
      </c>
      <c r="N341" s="46"/>
      <c r="O341" s="41">
        <f t="shared" si="219"/>
        <v>0</v>
      </c>
      <c r="P341" s="42">
        <v>32000</v>
      </c>
      <c r="Q341" s="44" t="s">
        <v>37</v>
      </c>
      <c r="R341" s="28" t="s">
        <v>56</v>
      </c>
      <c r="S341" s="48">
        <f t="shared" si="254"/>
        <v>192000</v>
      </c>
      <c r="T341" s="48">
        <f t="shared" si="257"/>
        <v>0</v>
      </c>
      <c r="W341" s="28">
        <v>268</v>
      </c>
      <c r="X341" s="105">
        <v>1.49</v>
      </c>
      <c r="Y341" s="105">
        <v>9.9499999999999993</v>
      </c>
      <c r="Z341" s="73" t="s">
        <v>680</v>
      </c>
      <c r="AA341" s="28">
        <v>50</v>
      </c>
    </row>
    <row r="342" spans="1:27" x14ac:dyDescent="0.25">
      <c r="A342" s="4"/>
      <c r="B342" s="98" t="s">
        <v>733</v>
      </c>
      <c r="C342" s="75" t="s">
        <v>730</v>
      </c>
      <c r="D342" s="28" t="s">
        <v>679</v>
      </c>
      <c r="E342" s="28">
        <f t="shared" si="250"/>
        <v>92037</v>
      </c>
      <c r="F342" s="143" t="str">
        <f>INDEX(PV_Summary!$B$18:$B$118,MATCH($E342,PV_Summary!$A$18:$A$118,0))</f>
        <v>S</v>
      </c>
      <c r="G342" s="123">
        <v>32.869078000000002</v>
      </c>
      <c r="H342" s="61">
        <v>-117.230676</v>
      </c>
      <c r="I342" s="44" t="s">
        <v>37</v>
      </c>
      <c r="J342" s="46">
        <f t="shared" si="261"/>
        <v>0.75</v>
      </c>
      <c r="K342" s="100"/>
      <c r="L342" s="44" t="str">
        <f t="shared" si="262"/>
        <v/>
      </c>
      <c r="M342" s="46">
        <f t="shared" si="263"/>
        <v>0.75</v>
      </c>
      <c r="N342" s="46"/>
      <c r="O342" s="41">
        <f t="shared" si="219"/>
        <v>0</v>
      </c>
      <c r="P342" s="42">
        <v>59000</v>
      </c>
      <c r="Q342" s="44" t="s">
        <v>37</v>
      </c>
      <c r="R342" s="28" t="s">
        <v>56</v>
      </c>
      <c r="S342" s="48">
        <f t="shared" si="254"/>
        <v>354000</v>
      </c>
      <c r="T342" s="48">
        <f t="shared" si="257"/>
        <v>0</v>
      </c>
      <c r="W342" s="28">
        <v>268</v>
      </c>
      <c r="X342" s="105">
        <v>1.49</v>
      </c>
      <c r="Y342" s="105">
        <v>9.9499999999999993</v>
      </c>
      <c r="Z342" s="73" t="s">
        <v>680</v>
      </c>
      <c r="AA342" s="28">
        <v>50</v>
      </c>
    </row>
    <row r="343" spans="1:27" x14ac:dyDescent="0.25">
      <c r="A343" s="4"/>
      <c r="B343" s="98" t="s">
        <v>734</v>
      </c>
      <c r="C343" s="75" t="s">
        <v>730</v>
      </c>
      <c r="D343" s="28" t="s">
        <v>679</v>
      </c>
      <c r="E343" s="28">
        <f t="shared" si="250"/>
        <v>92037</v>
      </c>
      <c r="F343" s="143" t="str">
        <f>INDEX(PV_Summary!$B$18:$B$118,MATCH($E343,PV_Summary!$A$18:$A$118,0))</f>
        <v>S</v>
      </c>
      <c r="G343" s="123">
        <v>32.869342000000003</v>
      </c>
      <c r="H343" s="61">
        <v>-117.23287500000001</v>
      </c>
      <c r="I343" s="44" t="s">
        <v>3</v>
      </c>
      <c r="J343" s="46">
        <f t="shared" si="261"/>
        <v>0.75</v>
      </c>
      <c r="K343" s="100"/>
      <c r="L343" s="44" t="str">
        <f t="shared" si="262"/>
        <v/>
      </c>
      <c r="M343" s="46">
        <f t="shared" si="263"/>
        <v>0.75</v>
      </c>
      <c r="N343" s="46"/>
      <c r="O343" s="41">
        <f t="shared" si="219"/>
        <v>0</v>
      </c>
      <c r="P343" s="42">
        <v>13000</v>
      </c>
      <c r="Q343" s="44" t="s">
        <v>3</v>
      </c>
      <c r="R343" s="28" t="s">
        <v>55</v>
      </c>
      <c r="S343" s="48">
        <f t="shared" si="254"/>
        <v>91000</v>
      </c>
      <c r="T343" s="48">
        <f t="shared" si="257"/>
        <v>0</v>
      </c>
      <c r="W343" s="28">
        <v>268</v>
      </c>
      <c r="X343" s="105">
        <v>1.49</v>
      </c>
      <c r="Y343" s="105">
        <v>9.9499999999999993</v>
      </c>
      <c r="Z343" s="73" t="s">
        <v>680</v>
      </c>
      <c r="AA343" s="28">
        <v>50</v>
      </c>
    </row>
    <row r="344" spans="1:27" x14ac:dyDescent="0.25">
      <c r="A344" s="4"/>
      <c r="B344" s="98" t="s">
        <v>735</v>
      </c>
      <c r="C344" s="75" t="s">
        <v>730</v>
      </c>
      <c r="D344" s="28" t="s">
        <v>679</v>
      </c>
      <c r="E344" s="28">
        <f t="shared" si="250"/>
        <v>92037</v>
      </c>
      <c r="F344" s="143" t="str">
        <f>INDEX(PV_Summary!$B$18:$B$118,MATCH($E344,PV_Summary!$A$18:$A$118,0))</f>
        <v>S</v>
      </c>
      <c r="G344" s="123">
        <v>32.868603</v>
      </c>
      <c r="H344" s="61">
        <v>-117.232597</v>
      </c>
      <c r="I344" s="44" t="s">
        <v>3</v>
      </c>
      <c r="J344" s="46">
        <f t="shared" si="261"/>
        <v>0.75</v>
      </c>
      <c r="K344" s="100"/>
      <c r="L344" s="44" t="str">
        <f t="shared" si="262"/>
        <v/>
      </c>
      <c r="M344" s="46">
        <f t="shared" si="263"/>
        <v>0.75</v>
      </c>
      <c r="N344" s="46"/>
      <c r="O344" s="41">
        <f t="shared" si="219"/>
        <v>0</v>
      </c>
      <c r="P344" s="42">
        <v>83000</v>
      </c>
      <c r="Q344" s="44" t="s">
        <v>3</v>
      </c>
      <c r="R344" s="28" t="s">
        <v>55</v>
      </c>
      <c r="S344" s="48">
        <f t="shared" si="254"/>
        <v>581000</v>
      </c>
      <c r="T344" s="48">
        <f t="shared" si="257"/>
        <v>0</v>
      </c>
      <c r="W344" s="28">
        <v>268</v>
      </c>
      <c r="X344" s="105">
        <v>1.49</v>
      </c>
      <c r="Y344" s="105">
        <v>9.9499999999999993</v>
      </c>
      <c r="Z344" s="73" t="s">
        <v>680</v>
      </c>
      <c r="AA344" s="28">
        <v>50</v>
      </c>
    </row>
    <row r="345" spans="1:27" x14ac:dyDescent="0.25">
      <c r="A345" s="4"/>
      <c r="B345" s="98" t="s">
        <v>736</v>
      </c>
      <c r="C345" s="75" t="s">
        <v>730</v>
      </c>
      <c r="D345" s="28" t="s">
        <v>679</v>
      </c>
      <c r="E345" s="28">
        <f t="shared" si="250"/>
        <v>92037</v>
      </c>
      <c r="F345" s="143" t="str">
        <f>INDEX(PV_Summary!$B$18:$B$118,MATCH($E345,PV_Summary!$A$18:$A$118,0))</f>
        <v>S</v>
      </c>
      <c r="G345" s="123">
        <v>32.868884999999999</v>
      </c>
      <c r="H345" s="61">
        <v>-117.23145</v>
      </c>
      <c r="I345" s="44" t="s">
        <v>3</v>
      </c>
      <c r="J345" s="46">
        <f t="shared" si="261"/>
        <v>0.75</v>
      </c>
      <c r="K345" s="100"/>
      <c r="L345" s="44" t="str">
        <f t="shared" si="262"/>
        <v/>
      </c>
      <c r="M345" s="46">
        <f t="shared" si="263"/>
        <v>0.75</v>
      </c>
      <c r="N345" s="46"/>
      <c r="O345" s="41">
        <f t="shared" si="219"/>
        <v>0</v>
      </c>
      <c r="P345" s="42">
        <v>80000</v>
      </c>
      <c r="Q345" s="44" t="s">
        <v>3</v>
      </c>
      <c r="R345" s="28" t="s">
        <v>55</v>
      </c>
      <c r="S345" s="48">
        <f t="shared" si="254"/>
        <v>560000</v>
      </c>
      <c r="T345" s="48">
        <f t="shared" si="257"/>
        <v>0</v>
      </c>
      <c r="W345" s="28">
        <v>268</v>
      </c>
      <c r="X345" s="105">
        <v>1.49</v>
      </c>
      <c r="Y345" s="105">
        <v>9.9499999999999993</v>
      </c>
      <c r="Z345" s="73" t="s">
        <v>680</v>
      </c>
      <c r="AA345" s="28">
        <v>200</v>
      </c>
    </row>
    <row r="346" spans="1:27" x14ac:dyDescent="0.25">
      <c r="A346" s="4"/>
      <c r="B346" s="62" t="s">
        <v>738</v>
      </c>
      <c r="C346" s="75" t="s">
        <v>737</v>
      </c>
      <c r="D346" s="28" t="s">
        <v>679</v>
      </c>
      <c r="E346" s="28">
        <f t="shared" si="250"/>
        <v>92037</v>
      </c>
      <c r="F346" s="143" t="str">
        <f>INDEX(PV_Summary!$B$18:$B$118,MATCH($E346,PV_Summary!$A$18:$A$118,0))</f>
        <v>S</v>
      </c>
      <c r="G346" s="123">
        <v>32.866261999999999</v>
      </c>
      <c r="H346" s="61">
        <v>-117.23194700000001</v>
      </c>
      <c r="I346" s="44" t="s">
        <v>62</v>
      </c>
      <c r="J346" s="46">
        <f t="shared" ca="1" si="261"/>
        <v>1.5</v>
      </c>
      <c r="K346" s="100"/>
      <c r="L346" s="44" t="str">
        <f t="shared" ca="1" si="262"/>
        <v>Total</v>
      </c>
      <c r="M346" s="46">
        <f t="shared" ca="1" si="263"/>
        <v>1.25</v>
      </c>
      <c r="N346" s="46"/>
      <c r="O346" s="41">
        <f t="shared" ca="1" si="219"/>
        <v>6</v>
      </c>
      <c r="Q346" s="44"/>
      <c r="S346" s="48">
        <f t="shared" si="254"/>
        <v>0</v>
      </c>
      <c r="T346" s="48">
        <f t="shared" ca="1" si="257"/>
        <v>4448000</v>
      </c>
      <c r="W346" s="28">
        <v>270</v>
      </c>
      <c r="X346" s="105">
        <v>1.5</v>
      </c>
      <c r="Y346" s="105">
        <v>10</v>
      </c>
      <c r="Z346" s="73" t="s">
        <v>680</v>
      </c>
      <c r="AA346" s="28"/>
    </row>
    <row r="347" spans="1:27" x14ac:dyDescent="0.25">
      <c r="A347" s="4"/>
      <c r="B347" s="98" t="s">
        <v>739</v>
      </c>
      <c r="C347" s="75" t="s">
        <v>737</v>
      </c>
      <c r="D347" s="28" t="s">
        <v>679</v>
      </c>
      <c r="E347" s="28">
        <f t="shared" si="250"/>
        <v>92037</v>
      </c>
      <c r="F347" s="143" t="str">
        <f>INDEX(PV_Summary!$B$18:$B$118,MATCH($E347,PV_Summary!$A$18:$A$118,0))</f>
        <v>S</v>
      </c>
      <c r="G347" s="123">
        <v>32.865616000000003</v>
      </c>
      <c r="H347" s="61">
        <v>-117.23195</v>
      </c>
      <c r="I347" s="44" t="s">
        <v>37</v>
      </c>
      <c r="J347" s="46">
        <f t="shared" ref="J347:J352" si="264">IF(O347&gt;1,Sym_Scl_Aggr_Parent,IF(O347&lt;1,Sym_Scl_Aggr_Child,Sym_Scl_Normal))</f>
        <v>0.75</v>
      </c>
      <c r="K347" s="100"/>
      <c r="L347" s="44" t="str">
        <f t="shared" ref="L347:L352" si="265">IF(O347&gt;1,"Total","")</f>
        <v/>
      </c>
      <c r="M347" s="46">
        <f t="shared" ref="M347:M352" si="266">IF(O347&gt;1,Label_Scl_Aggr_Parent,IF(O347&lt;1,Label_Scl_Aggr_Child,Label_Scl_Normal))</f>
        <v>0.75</v>
      </c>
      <c r="N347" s="46"/>
      <c r="O347" s="41">
        <f t="shared" ref="O347:O415" si="267">IF($C347=$C346,0,COUNTIFS(Address,$C347))</f>
        <v>0</v>
      </c>
      <c r="P347" s="42">
        <v>200000</v>
      </c>
      <c r="Q347" s="44" t="s">
        <v>37</v>
      </c>
      <c r="R347" s="28" t="s">
        <v>56</v>
      </c>
      <c r="S347" s="48">
        <f t="shared" si="254"/>
        <v>1200000</v>
      </c>
      <c r="T347" s="48">
        <f t="shared" si="257"/>
        <v>0</v>
      </c>
      <c r="W347" s="28">
        <v>270</v>
      </c>
      <c r="X347" s="105">
        <v>1.5</v>
      </c>
      <c r="Y347" s="105">
        <v>10</v>
      </c>
      <c r="Z347" s="73" t="s">
        <v>680</v>
      </c>
      <c r="AA347" s="28">
        <v>0</v>
      </c>
    </row>
    <row r="348" spans="1:27" x14ac:dyDescent="0.25">
      <c r="A348" s="4"/>
      <c r="B348" s="98" t="s">
        <v>740</v>
      </c>
      <c r="C348" s="75" t="s">
        <v>737</v>
      </c>
      <c r="D348" s="28" t="s">
        <v>679</v>
      </c>
      <c r="E348" s="28">
        <f t="shared" si="250"/>
        <v>92037</v>
      </c>
      <c r="F348" s="143" t="str">
        <f>INDEX(PV_Summary!$B$18:$B$118,MATCH($E348,PV_Summary!$A$18:$A$118,0))</f>
        <v>S</v>
      </c>
      <c r="G348" s="123">
        <v>32.867103</v>
      </c>
      <c r="H348" s="61">
        <v>-117.232201</v>
      </c>
      <c r="I348" s="44" t="s">
        <v>3</v>
      </c>
      <c r="J348" s="46">
        <f t="shared" si="264"/>
        <v>0.75</v>
      </c>
      <c r="K348" s="100"/>
      <c r="L348" s="44" t="str">
        <f t="shared" si="265"/>
        <v/>
      </c>
      <c r="M348" s="46">
        <f t="shared" si="266"/>
        <v>0.75</v>
      </c>
      <c r="N348" s="46"/>
      <c r="O348" s="41">
        <f t="shared" si="267"/>
        <v>0</v>
      </c>
      <c r="P348" s="42">
        <v>105000</v>
      </c>
      <c r="Q348" s="44" t="s">
        <v>3</v>
      </c>
      <c r="R348" s="28" t="s">
        <v>55</v>
      </c>
      <c r="S348" s="48">
        <f t="shared" si="254"/>
        <v>735000</v>
      </c>
      <c r="T348" s="48">
        <f t="shared" si="257"/>
        <v>0</v>
      </c>
      <c r="W348" s="28">
        <v>270</v>
      </c>
      <c r="X348" s="105">
        <v>1.5</v>
      </c>
      <c r="Y348" s="105">
        <v>10</v>
      </c>
      <c r="Z348" s="73" t="s">
        <v>680</v>
      </c>
      <c r="AA348" s="28">
        <v>50</v>
      </c>
    </row>
    <row r="349" spans="1:27" x14ac:dyDescent="0.25">
      <c r="A349" s="4"/>
      <c r="B349" s="98" t="s">
        <v>741</v>
      </c>
      <c r="C349" s="75" t="s">
        <v>737</v>
      </c>
      <c r="D349" s="28" t="s">
        <v>679</v>
      </c>
      <c r="E349" s="28">
        <f t="shared" si="250"/>
        <v>92037</v>
      </c>
      <c r="F349" s="143" t="str">
        <f>INDEX(PV_Summary!$B$18:$B$118,MATCH($E349,PV_Summary!$A$18:$A$118,0))</f>
        <v>S</v>
      </c>
      <c r="G349" s="123">
        <v>32.866090999999997</v>
      </c>
      <c r="H349" s="61">
        <v>-117.232754</v>
      </c>
      <c r="I349" s="44" t="s">
        <v>3</v>
      </c>
      <c r="J349" s="46">
        <f t="shared" si="264"/>
        <v>0.75</v>
      </c>
      <c r="K349" s="100"/>
      <c r="L349" s="44" t="str">
        <f t="shared" si="265"/>
        <v/>
      </c>
      <c r="M349" s="46">
        <f t="shared" si="266"/>
        <v>0.75</v>
      </c>
      <c r="N349" s="46"/>
      <c r="O349" s="41">
        <f t="shared" si="267"/>
        <v>0</v>
      </c>
      <c r="P349" s="42">
        <v>62000</v>
      </c>
      <c r="Q349" s="44" t="s">
        <v>3</v>
      </c>
      <c r="R349" s="28" t="s">
        <v>55</v>
      </c>
      <c r="S349" s="48">
        <f t="shared" si="254"/>
        <v>434000</v>
      </c>
      <c r="T349" s="48">
        <f t="shared" si="257"/>
        <v>0</v>
      </c>
      <c r="W349" s="28">
        <v>270</v>
      </c>
      <c r="X349" s="105">
        <v>1.5</v>
      </c>
      <c r="Y349" s="105">
        <v>10</v>
      </c>
      <c r="Z349" s="73" t="s">
        <v>680</v>
      </c>
      <c r="AA349" s="28">
        <v>50</v>
      </c>
    </row>
    <row r="350" spans="1:27" x14ac:dyDescent="0.25">
      <c r="A350" s="4"/>
      <c r="B350" s="98" t="s">
        <v>742</v>
      </c>
      <c r="C350" s="75" t="s">
        <v>737</v>
      </c>
      <c r="D350" s="28" t="s">
        <v>679</v>
      </c>
      <c r="E350" s="28">
        <f t="shared" si="250"/>
        <v>92037</v>
      </c>
      <c r="F350" s="143" t="str">
        <f>INDEX(PV_Summary!$B$18:$B$118,MATCH($E350,PV_Summary!$A$18:$A$118,0))</f>
        <v>S</v>
      </c>
      <c r="G350" s="123">
        <v>32.866239999999998</v>
      </c>
      <c r="H350" s="61">
        <v>-117.23086600000001</v>
      </c>
      <c r="I350" s="44" t="s">
        <v>3</v>
      </c>
      <c r="J350" s="46">
        <f t="shared" si="264"/>
        <v>0.75</v>
      </c>
      <c r="K350" s="100"/>
      <c r="L350" s="44" t="str">
        <f t="shared" si="265"/>
        <v/>
      </c>
      <c r="M350" s="46">
        <f t="shared" si="266"/>
        <v>0.75</v>
      </c>
      <c r="N350" s="46"/>
      <c r="O350" s="41">
        <f t="shared" si="267"/>
        <v>0</v>
      </c>
      <c r="P350" s="42">
        <v>220000</v>
      </c>
      <c r="Q350" s="44" t="s">
        <v>3</v>
      </c>
      <c r="R350" s="28" t="s">
        <v>55</v>
      </c>
      <c r="S350" s="48">
        <f t="shared" si="254"/>
        <v>1540000</v>
      </c>
      <c r="T350" s="48">
        <f t="shared" si="257"/>
        <v>0</v>
      </c>
      <c r="W350" s="28">
        <v>270</v>
      </c>
      <c r="X350" s="105">
        <v>1.5</v>
      </c>
      <c r="Y350" s="105">
        <v>10</v>
      </c>
      <c r="Z350" s="73" t="s">
        <v>680</v>
      </c>
      <c r="AA350" s="28">
        <v>50</v>
      </c>
    </row>
    <row r="351" spans="1:27" x14ac:dyDescent="0.25">
      <c r="A351" s="4"/>
      <c r="B351" s="98" t="s">
        <v>743</v>
      </c>
      <c r="C351" s="75" t="s">
        <v>737</v>
      </c>
      <c r="D351" s="28" t="s">
        <v>679</v>
      </c>
      <c r="E351" s="28">
        <f t="shared" si="250"/>
        <v>92037</v>
      </c>
      <c r="F351" s="143" t="str">
        <f>INDEX(PV_Summary!$B$18:$B$118,MATCH($E351,PV_Summary!$A$18:$A$118,0))</f>
        <v>S</v>
      </c>
      <c r="G351" s="123">
        <v>32.864111000000001</v>
      </c>
      <c r="H351" s="61">
        <v>-117.2319</v>
      </c>
      <c r="I351" s="44" t="s">
        <v>3</v>
      </c>
      <c r="J351" s="46">
        <f t="shared" si="264"/>
        <v>0.75</v>
      </c>
      <c r="K351" s="100"/>
      <c r="L351" s="44" t="str">
        <f t="shared" si="265"/>
        <v/>
      </c>
      <c r="M351" s="46">
        <f t="shared" si="266"/>
        <v>0.75</v>
      </c>
      <c r="N351" s="46"/>
      <c r="O351" s="41">
        <f t="shared" si="267"/>
        <v>0</v>
      </c>
      <c r="P351" s="42">
        <v>77000</v>
      </c>
      <c r="Q351" s="44" t="s">
        <v>3</v>
      </c>
      <c r="R351" s="28" t="s">
        <v>55</v>
      </c>
      <c r="S351" s="48">
        <f t="shared" si="254"/>
        <v>539000</v>
      </c>
      <c r="T351" s="48">
        <f t="shared" si="257"/>
        <v>0</v>
      </c>
      <c r="W351" s="28">
        <v>270</v>
      </c>
      <c r="X351" s="105">
        <v>1.5</v>
      </c>
      <c r="Y351" s="105">
        <v>10</v>
      </c>
      <c r="Z351" s="73" t="s">
        <v>680</v>
      </c>
      <c r="AA351" s="28">
        <v>50</v>
      </c>
    </row>
    <row r="352" spans="1:27" x14ac:dyDescent="0.25">
      <c r="A352" s="4"/>
      <c r="B352" s="28" t="s">
        <v>668</v>
      </c>
      <c r="C352" s="75" t="s">
        <v>669</v>
      </c>
      <c r="D352" s="28" t="s">
        <v>670</v>
      </c>
      <c r="E352" s="28">
        <f t="shared" si="250"/>
        <v>92161</v>
      </c>
      <c r="F352" s="143" t="str">
        <f>INDEX(PV_Summary!$B$18:$B$118,MATCH($E352,PV_Summary!$A$18:$A$118,0))</f>
        <v>S</v>
      </c>
      <c r="G352" s="123">
        <v>32.874696</v>
      </c>
      <c r="H352" s="61">
        <v>-117.232326</v>
      </c>
      <c r="I352" s="44" t="s">
        <v>242</v>
      </c>
      <c r="J352" s="46">
        <f t="shared" ca="1" si="264"/>
        <v>1.5</v>
      </c>
      <c r="K352" s="100"/>
      <c r="L352" s="44" t="str">
        <f t="shared" ca="1" si="265"/>
        <v>Total</v>
      </c>
      <c r="M352" s="46">
        <f t="shared" ca="1" si="266"/>
        <v>1.25</v>
      </c>
      <c r="N352" s="46"/>
      <c r="O352" s="41">
        <f t="shared" ca="1" si="267"/>
        <v>7</v>
      </c>
      <c r="Q352" s="44"/>
      <c r="S352" s="48">
        <f t="shared" si="254"/>
        <v>0</v>
      </c>
      <c r="T352" s="48">
        <f t="shared" ca="1" si="257"/>
        <v>2443000</v>
      </c>
      <c r="W352" s="28">
        <v>268</v>
      </c>
      <c r="X352" s="105">
        <v>1.49</v>
      </c>
      <c r="Y352" s="105">
        <v>9.9499999999999993</v>
      </c>
      <c r="Z352" s="73" t="s">
        <v>680</v>
      </c>
      <c r="AA352" s="28"/>
    </row>
    <row r="353" spans="1:27" x14ac:dyDescent="0.25">
      <c r="A353" s="4"/>
      <c r="B353" s="98" t="s">
        <v>671</v>
      </c>
      <c r="C353" s="75" t="s">
        <v>669</v>
      </c>
      <c r="D353" s="28" t="s">
        <v>670</v>
      </c>
      <c r="E353" s="28">
        <f t="shared" si="250"/>
        <v>92161</v>
      </c>
      <c r="F353" s="143" t="str">
        <f>INDEX(PV_Summary!$B$18:$B$118,MATCH($E353,PV_Summary!$A$18:$A$118,0))</f>
        <v>S</v>
      </c>
      <c r="G353" s="123">
        <v>32.873936</v>
      </c>
      <c r="H353" s="61">
        <v>-117.232434</v>
      </c>
      <c r="I353" s="44" t="s">
        <v>36</v>
      </c>
      <c r="J353" s="46">
        <f t="shared" ref="J353:J362" si="268">IF(O353&gt;1,Sym_Scl_Aggr_Parent,IF(O353&lt;1,Sym_Scl_Aggr_Child,Sym_Scl_Normal))</f>
        <v>0.75</v>
      </c>
      <c r="K353" s="100"/>
      <c r="L353" s="44" t="str">
        <f t="shared" ref="L353:L362" si="269">IF(O353&gt;1,"Total","")</f>
        <v/>
      </c>
      <c r="M353" s="46">
        <f t="shared" ref="M353:M362" si="270">IF(O353&gt;1,Label_Scl_Aggr_Parent,IF(O353&lt;1,Label_Scl_Aggr_Child,Label_Scl_Normal))</f>
        <v>0.75</v>
      </c>
      <c r="N353" s="46"/>
      <c r="O353" s="41">
        <f t="shared" si="267"/>
        <v>0</v>
      </c>
      <c r="P353" s="42">
        <v>35000</v>
      </c>
      <c r="Q353" s="44" t="s">
        <v>36</v>
      </c>
      <c r="R353" s="28" t="s">
        <v>55</v>
      </c>
      <c r="S353" s="48">
        <f t="shared" si="254"/>
        <v>245000</v>
      </c>
      <c r="T353" s="48">
        <f t="shared" si="257"/>
        <v>0</v>
      </c>
      <c r="W353" s="28">
        <v>268</v>
      </c>
      <c r="X353" s="105">
        <v>1.49</v>
      </c>
      <c r="Y353" s="105">
        <v>9.9499999999999993</v>
      </c>
      <c r="Z353" s="73" t="s">
        <v>680</v>
      </c>
      <c r="AA353" s="28">
        <v>750</v>
      </c>
    </row>
    <row r="354" spans="1:27" x14ac:dyDescent="0.25">
      <c r="A354" s="4"/>
      <c r="B354" s="98" t="s">
        <v>672</v>
      </c>
      <c r="C354" s="75" t="s">
        <v>669</v>
      </c>
      <c r="D354" s="28" t="s">
        <v>670</v>
      </c>
      <c r="E354" s="28">
        <f t="shared" si="250"/>
        <v>92161</v>
      </c>
      <c r="F354" s="143" t="str">
        <f>INDEX(PV_Summary!$B$18:$B$118,MATCH($E354,PV_Summary!$A$18:$A$118,0))</f>
        <v>S</v>
      </c>
      <c r="G354" s="123">
        <v>32.873758000000002</v>
      </c>
      <c r="H354" s="61">
        <v>-117.23323000000001</v>
      </c>
      <c r="I354" s="44" t="s">
        <v>3</v>
      </c>
      <c r="J354" s="46">
        <f t="shared" si="268"/>
        <v>0.75</v>
      </c>
      <c r="K354" s="100"/>
      <c r="L354" s="44" t="str">
        <f t="shared" si="269"/>
        <v/>
      </c>
      <c r="M354" s="46">
        <f t="shared" si="270"/>
        <v>0.75</v>
      </c>
      <c r="N354" s="46"/>
      <c r="O354" s="41">
        <f t="shared" si="267"/>
        <v>0</v>
      </c>
      <c r="P354" s="42">
        <v>72000</v>
      </c>
      <c r="Q354" s="44" t="s">
        <v>3</v>
      </c>
      <c r="R354" s="28" t="s">
        <v>55</v>
      </c>
      <c r="S354" s="48">
        <f t="shared" si="254"/>
        <v>504000</v>
      </c>
      <c r="T354" s="48">
        <f t="shared" si="257"/>
        <v>0</v>
      </c>
      <c r="W354" s="28">
        <v>268</v>
      </c>
      <c r="X354" s="105">
        <v>1.49</v>
      </c>
      <c r="Y354" s="105">
        <v>9.9499999999999993</v>
      </c>
      <c r="Z354" s="73" t="s">
        <v>680</v>
      </c>
      <c r="AA354" s="28">
        <v>700</v>
      </c>
    </row>
    <row r="355" spans="1:27" x14ac:dyDescent="0.25">
      <c r="A355" s="4"/>
      <c r="B355" s="98" t="s">
        <v>673</v>
      </c>
      <c r="C355" s="75" t="s">
        <v>669</v>
      </c>
      <c r="D355" s="28" t="s">
        <v>670</v>
      </c>
      <c r="E355" s="28">
        <f t="shared" si="250"/>
        <v>92161</v>
      </c>
      <c r="F355" s="143" t="str">
        <f>INDEX(PV_Summary!$B$18:$B$118,MATCH($E355,PV_Summary!$A$18:$A$118,0))</f>
        <v>S</v>
      </c>
      <c r="G355" s="123">
        <v>32.872867999999997</v>
      </c>
      <c r="H355" s="61">
        <v>-117.233079</v>
      </c>
      <c r="I355" s="44" t="s">
        <v>3</v>
      </c>
      <c r="J355" s="46">
        <f t="shared" si="268"/>
        <v>0.75</v>
      </c>
      <c r="K355" s="100"/>
      <c r="L355" s="44" t="str">
        <f t="shared" si="269"/>
        <v/>
      </c>
      <c r="M355" s="46">
        <f t="shared" si="270"/>
        <v>0.75</v>
      </c>
      <c r="N355" s="46"/>
      <c r="O355" s="41">
        <f t="shared" si="267"/>
        <v>0</v>
      </c>
      <c r="P355" s="42">
        <v>98000</v>
      </c>
      <c r="Q355" s="44" t="s">
        <v>3</v>
      </c>
      <c r="R355" s="28" t="s">
        <v>55</v>
      </c>
      <c r="S355" s="48">
        <f t="shared" si="254"/>
        <v>686000</v>
      </c>
      <c r="T355" s="48">
        <f t="shared" si="257"/>
        <v>0</v>
      </c>
      <c r="W355" s="28">
        <v>268</v>
      </c>
      <c r="X355" s="105">
        <v>1.49</v>
      </c>
      <c r="Y355" s="105">
        <v>9.9499999999999993</v>
      </c>
      <c r="Z355" s="73" t="s">
        <v>680</v>
      </c>
      <c r="AA355" s="28">
        <v>300</v>
      </c>
    </row>
    <row r="356" spans="1:27" x14ac:dyDescent="0.25">
      <c r="A356" s="4"/>
      <c r="B356" s="98" t="s">
        <v>674</v>
      </c>
      <c r="C356" s="75" t="s">
        <v>669</v>
      </c>
      <c r="D356" s="28" t="s">
        <v>670</v>
      </c>
      <c r="E356" s="28">
        <f t="shared" si="250"/>
        <v>92161</v>
      </c>
      <c r="F356" s="143" t="str">
        <f>INDEX(PV_Summary!$B$18:$B$118,MATCH($E356,PV_Summary!$A$18:$A$118,0))</f>
        <v>S</v>
      </c>
      <c r="G356" s="123">
        <v>32.873896999999999</v>
      </c>
      <c r="H356" s="61">
        <v>-117.2317</v>
      </c>
      <c r="I356" s="44" t="s">
        <v>3</v>
      </c>
      <c r="J356" s="46">
        <f t="shared" si="268"/>
        <v>0.75</v>
      </c>
      <c r="K356" s="100"/>
      <c r="L356" s="44" t="str">
        <f t="shared" si="269"/>
        <v/>
      </c>
      <c r="M356" s="46">
        <f t="shared" si="270"/>
        <v>0.75</v>
      </c>
      <c r="N356" s="46"/>
      <c r="O356" s="41">
        <f t="shared" si="267"/>
        <v>0</v>
      </c>
      <c r="P356" s="42">
        <v>63000</v>
      </c>
      <c r="Q356" s="44" t="s">
        <v>3</v>
      </c>
      <c r="R356" s="28" t="s">
        <v>55</v>
      </c>
      <c r="S356" s="48">
        <f t="shared" si="254"/>
        <v>441000</v>
      </c>
      <c r="T356" s="48">
        <f t="shared" si="257"/>
        <v>0</v>
      </c>
      <c r="W356" s="28">
        <v>268</v>
      </c>
      <c r="X356" s="105">
        <v>1.49</v>
      </c>
      <c r="Y356" s="105">
        <v>9.9499999999999993</v>
      </c>
      <c r="Z356" s="73" t="s">
        <v>680</v>
      </c>
      <c r="AA356" s="28">
        <v>250</v>
      </c>
    </row>
    <row r="357" spans="1:27" x14ac:dyDescent="0.25">
      <c r="A357" s="4"/>
      <c r="B357" s="98" t="s">
        <v>675</v>
      </c>
      <c r="C357" s="75" t="s">
        <v>669</v>
      </c>
      <c r="D357" s="28" t="s">
        <v>670</v>
      </c>
      <c r="E357" s="28">
        <f t="shared" si="250"/>
        <v>92161</v>
      </c>
      <c r="F357" s="143" t="str">
        <f>INDEX(PV_Summary!$B$18:$B$118,MATCH($E357,PV_Summary!$A$18:$A$118,0))</f>
        <v>S</v>
      </c>
      <c r="G357" s="123">
        <v>32.873821</v>
      </c>
      <c r="H357" s="61">
        <v>-117.230864</v>
      </c>
      <c r="I357" s="44" t="s">
        <v>3</v>
      </c>
      <c r="J357" s="46">
        <f t="shared" si="268"/>
        <v>0.75</v>
      </c>
      <c r="K357" s="100"/>
      <c r="L357" s="44" t="str">
        <f t="shared" si="269"/>
        <v/>
      </c>
      <c r="M357" s="46">
        <f t="shared" si="270"/>
        <v>0.75</v>
      </c>
      <c r="N357" s="46"/>
      <c r="O357" s="41">
        <f t="shared" si="267"/>
        <v>0</v>
      </c>
      <c r="P357" s="42">
        <v>52000</v>
      </c>
      <c r="Q357" s="44" t="s">
        <v>3</v>
      </c>
      <c r="R357" s="28" t="s">
        <v>55</v>
      </c>
      <c r="S357" s="48">
        <f t="shared" si="254"/>
        <v>364000</v>
      </c>
      <c r="T357" s="48">
        <f t="shared" si="257"/>
        <v>0</v>
      </c>
      <c r="W357" s="28">
        <v>268</v>
      </c>
      <c r="X357" s="105">
        <v>1.49</v>
      </c>
      <c r="Y357" s="105">
        <v>9.9499999999999993</v>
      </c>
      <c r="Z357" s="73" t="s">
        <v>680</v>
      </c>
      <c r="AA357" s="28">
        <v>50</v>
      </c>
    </row>
    <row r="358" spans="1:27" x14ac:dyDescent="0.25">
      <c r="A358" s="4"/>
      <c r="B358" s="98" t="s">
        <v>676</v>
      </c>
      <c r="C358" s="75" t="s">
        <v>669</v>
      </c>
      <c r="D358" s="28" t="s">
        <v>670</v>
      </c>
      <c r="E358" s="28">
        <f t="shared" si="250"/>
        <v>92161</v>
      </c>
      <c r="F358" s="143" t="str">
        <f>INDEX(PV_Summary!$B$18:$B$118,MATCH($E358,PV_Summary!$A$18:$A$118,0))</f>
        <v>S</v>
      </c>
      <c r="G358" s="123">
        <v>32.874791999999999</v>
      </c>
      <c r="H358" s="61">
        <v>-117.230799</v>
      </c>
      <c r="I358" s="44" t="s">
        <v>3</v>
      </c>
      <c r="J358" s="46">
        <f t="shared" si="268"/>
        <v>0.75</v>
      </c>
      <c r="K358" s="100"/>
      <c r="L358" s="44" t="str">
        <f t="shared" si="269"/>
        <v/>
      </c>
      <c r="M358" s="46">
        <f t="shared" si="270"/>
        <v>0.75</v>
      </c>
      <c r="N358" s="46"/>
      <c r="O358" s="41">
        <f t="shared" si="267"/>
        <v>0</v>
      </c>
      <c r="P358" s="42">
        <v>29000</v>
      </c>
      <c r="Q358" s="44" t="s">
        <v>3</v>
      </c>
      <c r="R358" s="28" t="s">
        <v>55</v>
      </c>
      <c r="S358" s="48">
        <f t="shared" si="254"/>
        <v>203000</v>
      </c>
      <c r="T358" s="48">
        <f t="shared" si="257"/>
        <v>0</v>
      </c>
      <c r="W358" s="28">
        <v>268</v>
      </c>
      <c r="X358" s="105">
        <v>1.49</v>
      </c>
      <c r="Y358" s="105">
        <v>9.9499999999999993</v>
      </c>
      <c r="Z358" s="73" t="s">
        <v>680</v>
      </c>
      <c r="AA358" s="28">
        <v>50</v>
      </c>
    </row>
    <row r="359" spans="1:27" x14ac:dyDescent="0.25">
      <c r="A359" s="4"/>
      <c r="B359" s="62" t="s">
        <v>747</v>
      </c>
      <c r="C359" s="75" t="s">
        <v>746</v>
      </c>
      <c r="D359" s="28" t="s">
        <v>679</v>
      </c>
      <c r="E359" s="28">
        <f t="shared" si="250"/>
        <v>92037</v>
      </c>
      <c r="F359" s="143" t="str">
        <f>INDEX(PV_Summary!$B$18:$B$118,MATCH($E359,PV_Summary!$A$18:$A$118,0))</f>
        <v>S</v>
      </c>
      <c r="G359" s="123">
        <v>32.857627999999998</v>
      </c>
      <c r="H359" s="61">
        <v>-117.2564</v>
      </c>
      <c r="I359" s="44" t="s">
        <v>3</v>
      </c>
      <c r="J359" s="46">
        <f t="shared" ca="1" si="268"/>
        <v>1</v>
      </c>
      <c r="K359" s="100"/>
      <c r="L359" s="44" t="str">
        <f t="shared" ca="1" si="269"/>
        <v/>
      </c>
      <c r="M359" s="46">
        <f t="shared" ca="1" si="270"/>
        <v>1</v>
      </c>
      <c r="N359" s="46"/>
      <c r="O359" s="41">
        <f t="shared" ca="1" si="267"/>
        <v>1</v>
      </c>
      <c r="P359" s="42">
        <v>109000</v>
      </c>
      <c r="Q359" s="44" t="s">
        <v>3</v>
      </c>
      <c r="R359" s="28" t="s">
        <v>55</v>
      </c>
      <c r="S359" s="48">
        <f t="shared" si="254"/>
        <v>763000</v>
      </c>
      <c r="T359" s="48">
        <f t="shared" ca="1" si="257"/>
        <v>763000</v>
      </c>
      <c r="W359" s="28">
        <v>120</v>
      </c>
      <c r="X359" s="105">
        <v>1.4</v>
      </c>
      <c r="Y359" s="105">
        <v>9.31</v>
      </c>
      <c r="Z359" s="73" t="s">
        <v>745</v>
      </c>
      <c r="AA359" s="28">
        <v>0</v>
      </c>
    </row>
    <row r="360" spans="1:27" x14ac:dyDescent="0.25">
      <c r="A360" s="4"/>
      <c r="B360" s="28" t="s">
        <v>644</v>
      </c>
      <c r="C360" s="75" t="s">
        <v>645</v>
      </c>
      <c r="D360" s="28" t="s">
        <v>624</v>
      </c>
      <c r="E360" s="28">
        <f t="shared" si="250"/>
        <v>92109</v>
      </c>
      <c r="F360" s="143" t="str">
        <f>INDEX(PV_Summary!$B$18:$B$118,MATCH($E360,PV_Summary!$A$18:$A$118,0))</f>
        <v>S</v>
      </c>
      <c r="G360" s="123">
        <v>32.765582999999999</v>
      </c>
      <c r="H360" s="61">
        <v>-117.234317</v>
      </c>
      <c r="I360" s="44" t="s">
        <v>3</v>
      </c>
      <c r="J360" s="46">
        <f t="shared" ca="1" si="268"/>
        <v>1</v>
      </c>
      <c r="K360" s="100"/>
      <c r="L360" s="44" t="str">
        <f t="shared" ca="1" si="269"/>
        <v/>
      </c>
      <c r="M360" s="46">
        <f t="shared" ca="1" si="270"/>
        <v>1</v>
      </c>
      <c r="N360" s="46"/>
      <c r="O360" s="41">
        <f t="shared" ca="1" si="267"/>
        <v>1</v>
      </c>
      <c r="P360" s="42">
        <v>177000</v>
      </c>
      <c r="Q360" s="44" t="s">
        <v>3</v>
      </c>
      <c r="R360" s="28" t="s">
        <v>55</v>
      </c>
      <c r="S360" s="48">
        <f t="shared" si="254"/>
        <v>1239000</v>
      </c>
      <c r="T360" s="48">
        <f t="shared" ca="1" si="257"/>
        <v>1239000</v>
      </c>
      <c r="W360" s="28">
        <v>546</v>
      </c>
      <c r="X360" s="105">
        <v>1.45</v>
      </c>
      <c r="Y360" s="105">
        <v>9.6999999999999993</v>
      </c>
      <c r="Z360" s="73" t="s">
        <v>468</v>
      </c>
      <c r="AA360" s="28">
        <v>0</v>
      </c>
    </row>
    <row r="361" spans="1:27" x14ac:dyDescent="0.25">
      <c r="A361" s="4"/>
      <c r="B361" s="28" t="s">
        <v>640</v>
      </c>
      <c r="C361" s="75" t="s">
        <v>641</v>
      </c>
      <c r="D361" s="28" t="s">
        <v>624</v>
      </c>
      <c r="E361" s="28">
        <f t="shared" si="250"/>
        <v>92109</v>
      </c>
      <c r="F361" s="143" t="str">
        <f>INDEX(PV_Summary!$B$18:$B$118,MATCH($E361,PV_Summary!$A$18:$A$118,0))</f>
        <v>S</v>
      </c>
      <c r="G361" s="123">
        <v>32.763609000000002</v>
      </c>
      <c r="H361" s="61">
        <v>-117.23569500000001</v>
      </c>
      <c r="I361" s="44" t="s">
        <v>3</v>
      </c>
      <c r="J361" s="46">
        <f t="shared" ca="1" si="268"/>
        <v>1</v>
      </c>
      <c r="K361" s="100"/>
      <c r="L361" s="44" t="str">
        <f t="shared" ca="1" si="269"/>
        <v/>
      </c>
      <c r="M361" s="46">
        <f t="shared" ca="1" si="270"/>
        <v>1</v>
      </c>
      <c r="N361" s="46"/>
      <c r="O361" s="41">
        <f t="shared" ca="1" si="267"/>
        <v>1</v>
      </c>
      <c r="P361" s="42">
        <v>175000</v>
      </c>
      <c r="Q361" s="44" t="s">
        <v>3</v>
      </c>
      <c r="R361" s="28" t="s">
        <v>55</v>
      </c>
      <c r="S361" s="48">
        <f t="shared" si="254"/>
        <v>1225000</v>
      </c>
      <c r="T361" s="48">
        <f t="shared" ca="1" si="257"/>
        <v>1225000</v>
      </c>
      <c r="W361" s="28">
        <v>741</v>
      </c>
      <c r="X361" s="105">
        <v>1.5</v>
      </c>
      <c r="Y361" s="105">
        <v>10</v>
      </c>
      <c r="Z361" s="73" t="s">
        <v>494</v>
      </c>
      <c r="AA361" s="28">
        <v>0</v>
      </c>
    </row>
    <row r="362" spans="1:27" x14ac:dyDescent="0.25">
      <c r="A362" s="4"/>
      <c r="B362" s="28" t="s">
        <v>642</v>
      </c>
      <c r="C362" s="75" t="s">
        <v>643</v>
      </c>
      <c r="D362" s="28" t="s">
        <v>624</v>
      </c>
      <c r="E362" s="28">
        <f t="shared" si="250"/>
        <v>92109</v>
      </c>
      <c r="F362" s="143" t="str">
        <f>INDEX(PV_Summary!$B$18:$B$118,MATCH($E362,PV_Summary!$A$18:$A$118,0))</f>
        <v>S</v>
      </c>
      <c r="G362" s="123">
        <v>32.761400000000002</v>
      </c>
      <c r="H362" s="61">
        <v>-117.233054</v>
      </c>
      <c r="I362" s="44" t="s">
        <v>3</v>
      </c>
      <c r="J362" s="46">
        <f t="shared" ca="1" si="268"/>
        <v>1</v>
      </c>
      <c r="K362" s="100"/>
      <c r="L362" s="44" t="str">
        <f t="shared" ca="1" si="269"/>
        <v/>
      </c>
      <c r="M362" s="46">
        <f t="shared" ca="1" si="270"/>
        <v>1</v>
      </c>
      <c r="N362" s="46"/>
      <c r="O362" s="41">
        <f t="shared" ca="1" si="267"/>
        <v>1</v>
      </c>
      <c r="P362" s="42">
        <v>155000</v>
      </c>
      <c r="Q362" s="44" t="s">
        <v>3</v>
      </c>
      <c r="R362" s="28" t="s">
        <v>55</v>
      </c>
      <c r="S362" s="48">
        <f t="shared" si="254"/>
        <v>1085000</v>
      </c>
      <c r="T362" s="48">
        <f t="shared" ca="1" si="257"/>
        <v>1085000</v>
      </c>
      <c r="W362" s="28">
        <v>741</v>
      </c>
      <c r="X362" s="105">
        <v>1.5</v>
      </c>
      <c r="Y362" s="105">
        <v>10</v>
      </c>
      <c r="Z362" s="73" t="s">
        <v>494</v>
      </c>
      <c r="AA362" s="28">
        <v>50</v>
      </c>
    </row>
    <row r="363" spans="1:27" x14ac:dyDescent="0.25">
      <c r="A363" s="4"/>
      <c r="B363" s="28" t="s">
        <v>755</v>
      </c>
      <c r="C363" s="75" t="s">
        <v>750</v>
      </c>
      <c r="D363" s="28" t="s">
        <v>751</v>
      </c>
      <c r="E363" s="28">
        <f t="shared" si="250"/>
        <v>92122</v>
      </c>
      <c r="F363" s="143" t="str">
        <f>INDEX(PV_Summary!$B$18:$B$118,MATCH($E363,PV_Summary!$A$18:$A$118,0))</f>
        <v>S</v>
      </c>
      <c r="G363" s="123">
        <v>32.870303</v>
      </c>
      <c r="H363" s="61">
        <v>-117.211125</v>
      </c>
      <c r="I363" s="44" t="s">
        <v>62</v>
      </c>
      <c r="J363" s="46">
        <f t="shared" ref="J363:J369" ca="1" si="271">IF(O363&gt;1,Sym_Scl_Aggr_Parent,IF(O363&lt;1,Sym_Scl_Aggr_Child,Sym_Scl_Normal))</f>
        <v>1.5</v>
      </c>
      <c r="K363" s="100"/>
      <c r="L363" s="44" t="str">
        <f t="shared" ref="L363:L369" ca="1" si="272">IF(O363&gt;1,"Total","")</f>
        <v>Total</v>
      </c>
      <c r="M363" s="46">
        <f t="shared" ref="M363:M369" ca="1" si="273">IF(O363&gt;1,Label_Scl_Aggr_Parent,IF(O363&lt;1,Label_Scl_Aggr_Child,Label_Scl_Normal))</f>
        <v>1.25</v>
      </c>
      <c r="N363" s="46"/>
      <c r="O363" s="41">
        <f t="shared" ca="1" si="267"/>
        <v>10</v>
      </c>
      <c r="Q363" s="44"/>
      <c r="S363" s="48">
        <f t="shared" si="254"/>
        <v>0</v>
      </c>
      <c r="T363" s="48">
        <f t="shared" ca="1" si="257"/>
        <v>4893000</v>
      </c>
      <c r="W363" s="28" t="s">
        <v>604</v>
      </c>
      <c r="X363" s="105"/>
      <c r="Y363" s="105"/>
      <c r="Z363" s="73" t="s">
        <v>680</v>
      </c>
      <c r="AA363" s="28"/>
    </row>
    <row r="364" spans="1:27" x14ac:dyDescent="0.25">
      <c r="A364" s="4"/>
      <c r="B364" s="98" t="s">
        <v>752</v>
      </c>
      <c r="C364" s="75" t="s">
        <v>750</v>
      </c>
      <c r="D364" s="28" t="s">
        <v>751</v>
      </c>
      <c r="E364" s="28">
        <f t="shared" si="250"/>
        <v>92122</v>
      </c>
      <c r="F364" s="143" t="str">
        <f>INDEX(PV_Summary!$B$18:$B$118,MATCH($E364,PV_Summary!$A$18:$A$118,0))</f>
        <v>S</v>
      </c>
      <c r="G364" s="123">
        <v>32.868842999999998</v>
      </c>
      <c r="H364" s="61">
        <v>-117.21224100000001</v>
      </c>
      <c r="I364" s="44" t="s">
        <v>37</v>
      </c>
      <c r="J364" s="46">
        <f t="shared" si="271"/>
        <v>0.75</v>
      </c>
      <c r="K364" s="100"/>
      <c r="L364" s="44" t="str">
        <f t="shared" si="272"/>
        <v/>
      </c>
      <c r="M364" s="46">
        <f t="shared" si="273"/>
        <v>0.75</v>
      </c>
      <c r="N364" s="46"/>
      <c r="O364" s="41">
        <f t="shared" si="267"/>
        <v>0</v>
      </c>
      <c r="P364" s="42">
        <f>15000 + N("SW") + 4000 + N("SE")</f>
        <v>19000</v>
      </c>
      <c r="Q364" s="44" t="s">
        <v>37</v>
      </c>
      <c r="R364" s="28" t="s">
        <v>55</v>
      </c>
      <c r="S364" s="48">
        <f t="shared" si="254"/>
        <v>133000</v>
      </c>
      <c r="T364" s="48">
        <f t="shared" si="257"/>
        <v>0</v>
      </c>
      <c r="W364" s="28">
        <v>272</v>
      </c>
      <c r="X364" s="105">
        <v>1.34</v>
      </c>
      <c r="Y364" s="105">
        <v>8.9499999999999993</v>
      </c>
      <c r="Z364" s="73" t="s">
        <v>680</v>
      </c>
      <c r="AA364" s="28">
        <v>0</v>
      </c>
    </row>
    <row r="365" spans="1:27" x14ac:dyDescent="0.25">
      <c r="A365" s="4"/>
      <c r="B365" s="98" t="s">
        <v>753</v>
      </c>
      <c r="C365" s="75" t="s">
        <v>750</v>
      </c>
      <c r="D365" s="28" t="s">
        <v>751</v>
      </c>
      <c r="E365" s="28">
        <f t="shared" si="250"/>
        <v>92122</v>
      </c>
      <c r="F365" s="143" t="str">
        <f>INDEX(PV_Summary!$B$18:$B$118,MATCH($E365,PV_Summary!$A$18:$A$118,0))</f>
        <v>S</v>
      </c>
      <c r="G365" s="123">
        <v>32.870901000000003</v>
      </c>
      <c r="H365" s="61">
        <v>-117.211603</v>
      </c>
      <c r="I365" s="44" t="s">
        <v>37</v>
      </c>
      <c r="J365" s="46">
        <f t="shared" si="271"/>
        <v>0.75</v>
      </c>
      <c r="K365" s="100"/>
      <c r="L365" s="44" t="str">
        <f t="shared" si="272"/>
        <v/>
      </c>
      <c r="M365" s="46">
        <f t="shared" si="273"/>
        <v>0.75</v>
      </c>
      <c r="N365" s="46"/>
      <c r="O365" s="41">
        <f t="shared" si="267"/>
        <v>0</v>
      </c>
      <c r="P365" s="42">
        <v>9000</v>
      </c>
      <c r="Q365" s="44" t="s">
        <v>37</v>
      </c>
      <c r="R365" s="28" t="s">
        <v>55</v>
      </c>
      <c r="S365" s="48">
        <f t="shared" si="254"/>
        <v>63000</v>
      </c>
      <c r="T365" s="48">
        <f t="shared" si="257"/>
        <v>0</v>
      </c>
      <c r="W365" s="28">
        <v>271</v>
      </c>
      <c r="X365" s="105">
        <v>1.49</v>
      </c>
      <c r="Y365" s="105">
        <v>9.9</v>
      </c>
      <c r="Z365" s="73" t="s">
        <v>680</v>
      </c>
      <c r="AA365" s="28">
        <v>0</v>
      </c>
    </row>
    <row r="366" spans="1:27" x14ac:dyDescent="0.25">
      <c r="A366" s="4"/>
      <c r="B366" s="98" t="s">
        <v>754</v>
      </c>
      <c r="C366" s="75" t="s">
        <v>750</v>
      </c>
      <c r="D366" s="28" t="s">
        <v>751</v>
      </c>
      <c r="E366" s="28">
        <f t="shared" si="250"/>
        <v>92122</v>
      </c>
      <c r="F366" s="143" t="str">
        <f>INDEX(PV_Summary!$B$18:$B$118,MATCH($E366,PV_Summary!$A$18:$A$118,0))</f>
        <v>S</v>
      </c>
      <c r="G366" s="123">
        <v>32.872281999999998</v>
      </c>
      <c r="H366" s="61">
        <v>-117.208842</v>
      </c>
      <c r="I366" s="44" t="s">
        <v>37</v>
      </c>
      <c r="J366" s="46">
        <f t="shared" si="271"/>
        <v>0.75</v>
      </c>
      <c r="K366" s="100"/>
      <c r="L366" s="44" t="str">
        <f t="shared" si="272"/>
        <v/>
      </c>
      <c r="M366" s="46">
        <f t="shared" si="273"/>
        <v>0.75</v>
      </c>
      <c r="N366" s="46"/>
      <c r="O366" s="41">
        <f t="shared" si="267"/>
        <v>0</v>
      </c>
      <c r="P366" s="42">
        <v>62000</v>
      </c>
      <c r="Q366" s="44" t="s">
        <v>37</v>
      </c>
      <c r="R366" s="28" t="s">
        <v>55</v>
      </c>
      <c r="S366" s="48">
        <f t="shared" si="254"/>
        <v>434000</v>
      </c>
      <c r="T366" s="48">
        <f t="shared" si="257"/>
        <v>0</v>
      </c>
      <c r="W366" s="28">
        <v>271</v>
      </c>
      <c r="X366" s="105">
        <v>1.49</v>
      </c>
      <c r="Y366" s="105">
        <v>9.9</v>
      </c>
      <c r="Z366" s="73" t="s">
        <v>680</v>
      </c>
      <c r="AA366" s="28">
        <v>0</v>
      </c>
    </row>
    <row r="367" spans="1:27" x14ac:dyDescent="0.25">
      <c r="A367" s="4"/>
      <c r="B367" s="98" t="s">
        <v>756</v>
      </c>
      <c r="C367" s="75" t="s">
        <v>750</v>
      </c>
      <c r="D367" s="28" t="s">
        <v>751</v>
      </c>
      <c r="E367" s="28">
        <f t="shared" ref="E367:E375" si="274">RIGHT(TRIM(D367),5)*1</f>
        <v>92122</v>
      </c>
      <c r="F367" s="143" t="str">
        <f>INDEX(PV_Summary!$B$18:$B$118,MATCH($E367,PV_Summary!$A$18:$A$118,0))</f>
        <v>S</v>
      </c>
      <c r="G367" s="123">
        <v>32.873159000000001</v>
      </c>
      <c r="H367" s="61">
        <v>-117.208688</v>
      </c>
      <c r="I367" s="44" t="s">
        <v>3</v>
      </c>
      <c r="J367" s="46">
        <f t="shared" si="271"/>
        <v>0.75</v>
      </c>
      <c r="K367" s="100"/>
      <c r="L367" s="44" t="str">
        <f t="shared" si="272"/>
        <v/>
      </c>
      <c r="M367" s="46">
        <f t="shared" si="273"/>
        <v>0.75</v>
      </c>
      <c r="N367" s="46"/>
      <c r="O367" s="41">
        <f t="shared" si="267"/>
        <v>0</v>
      </c>
      <c r="P367" s="42">
        <v>150000</v>
      </c>
      <c r="Q367" s="44" t="s">
        <v>3</v>
      </c>
      <c r="R367" s="28" t="s">
        <v>55</v>
      </c>
      <c r="S367" s="48">
        <f t="shared" si="254"/>
        <v>1050000</v>
      </c>
      <c r="T367" s="48">
        <f t="shared" si="257"/>
        <v>0</v>
      </c>
      <c r="W367" s="28">
        <v>271</v>
      </c>
      <c r="X367" s="105">
        <v>1.49</v>
      </c>
      <c r="Y367" s="105">
        <v>9.9</v>
      </c>
      <c r="Z367" s="73" t="s">
        <v>680</v>
      </c>
      <c r="AA367" s="28">
        <v>0</v>
      </c>
    </row>
    <row r="368" spans="1:27" x14ac:dyDescent="0.25">
      <c r="A368" s="4"/>
      <c r="B368" s="98" t="s">
        <v>757</v>
      </c>
      <c r="C368" s="75" t="s">
        <v>750</v>
      </c>
      <c r="D368" s="28" t="s">
        <v>751</v>
      </c>
      <c r="E368" s="28">
        <f t="shared" si="274"/>
        <v>92122</v>
      </c>
      <c r="F368" s="143" t="str">
        <f>INDEX(PV_Summary!$B$18:$B$118,MATCH($E368,PV_Summary!$A$18:$A$118,0))</f>
        <v>S</v>
      </c>
      <c r="G368" s="123">
        <v>32.872087999999998</v>
      </c>
      <c r="H368" s="61">
        <v>-117.20782800000001</v>
      </c>
      <c r="I368" s="44" t="s">
        <v>3</v>
      </c>
      <c r="J368" s="46">
        <f t="shared" si="271"/>
        <v>0.75</v>
      </c>
      <c r="K368" s="100"/>
      <c r="L368" s="44" t="str">
        <f t="shared" si="272"/>
        <v/>
      </c>
      <c r="M368" s="46">
        <f t="shared" si="273"/>
        <v>0.75</v>
      </c>
      <c r="N368" s="46"/>
      <c r="O368" s="41">
        <f t="shared" si="267"/>
        <v>0</v>
      </c>
      <c r="P368" s="42">
        <v>105000</v>
      </c>
      <c r="Q368" s="44" t="s">
        <v>3</v>
      </c>
      <c r="R368" s="28" t="s">
        <v>55</v>
      </c>
      <c r="S368" s="48">
        <f t="shared" si="254"/>
        <v>735000</v>
      </c>
      <c r="T368" s="48">
        <f t="shared" si="257"/>
        <v>0</v>
      </c>
      <c r="W368" s="28">
        <v>271</v>
      </c>
      <c r="X368" s="105">
        <v>1.49</v>
      </c>
      <c r="Y368" s="105">
        <v>9.9</v>
      </c>
      <c r="Z368" s="73" t="s">
        <v>680</v>
      </c>
      <c r="AA368" s="28">
        <v>0</v>
      </c>
    </row>
    <row r="369" spans="1:27" x14ac:dyDescent="0.25">
      <c r="A369" s="4"/>
      <c r="B369" s="98" t="s">
        <v>758</v>
      </c>
      <c r="C369" s="75" t="s">
        <v>750</v>
      </c>
      <c r="D369" s="28" t="s">
        <v>751</v>
      </c>
      <c r="E369" s="28">
        <f t="shared" si="274"/>
        <v>92122</v>
      </c>
      <c r="F369" s="143" t="str">
        <f>INDEX(PV_Summary!$B$18:$B$118,MATCH($E369,PV_Summary!$A$18:$A$118,0))</f>
        <v>S</v>
      </c>
      <c r="G369" s="123">
        <v>32.870848000000002</v>
      </c>
      <c r="H369" s="61">
        <v>-117.20859</v>
      </c>
      <c r="I369" s="44" t="s">
        <v>36</v>
      </c>
      <c r="J369" s="46">
        <f t="shared" si="271"/>
        <v>0.75</v>
      </c>
      <c r="K369" s="100"/>
      <c r="L369" s="44" t="str">
        <f t="shared" si="272"/>
        <v/>
      </c>
      <c r="M369" s="46">
        <f t="shared" si="273"/>
        <v>0.75</v>
      </c>
      <c r="N369" s="46"/>
      <c r="O369" s="41">
        <f t="shared" si="267"/>
        <v>0</v>
      </c>
      <c r="P369" s="42">
        <v>92000</v>
      </c>
      <c r="Q369" s="44" t="s">
        <v>36</v>
      </c>
      <c r="R369" s="28" t="s">
        <v>55</v>
      </c>
      <c r="S369" s="48">
        <f t="shared" si="254"/>
        <v>644000</v>
      </c>
      <c r="T369" s="48">
        <f t="shared" si="257"/>
        <v>0</v>
      </c>
      <c r="W369" s="28">
        <v>271</v>
      </c>
      <c r="X369" s="105">
        <v>1.49</v>
      </c>
      <c r="Y369" s="105">
        <v>9.9</v>
      </c>
      <c r="Z369" s="73" t="s">
        <v>680</v>
      </c>
      <c r="AA369" s="28">
        <v>0</v>
      </c>
    </row>
    <row r="370" spans="1:27" x14ac:dyDescent="0.25">
      <c r="A370" s="4"/>
      <c r="B370" s="98" t="s">
        <v>759</v>
      </c>
      <c r="C370" s="75" t="s">
        <v>750</v>
      </c>
      <c r="D370" s="28" t="s">
        <v>751</v>
      </c>
      <c r="E370" s="28">
        <f t="shared" si="274"/>
        <v>92122</v>
      </c>
      <c r="F370" s="143" t="str">
        <f>INDEX(PV_Summary!$B$18:$B$118,MATCH($E370,PV_Summary!$A$18:$A$118,0))</f>
        <v>S</v>
      </c>
      <c r="G370" s="123">
        <v>32.872306000000002</v>
      </c>
      <c r="H370" s="61">
        <v>-117.21045700000001</v>
      </c>
      <c r="I370" s="44" t="s">
        <v>36</v>
      </c>
      <c r="J370" s="46">
        <f t="shared" ref="J370:J446" si="275">IF(O370&gt;1,Sym_Scl_Aggr_Parent,IF(O370&lt;1,Sym_Scl_Aggr_Child,Sym_Scl_Normal))</f>
        <v>0.75</v>
      </c>
      <c r="K370" s="100"/>
      <c r="L370" s="44" t="str">
        <f t="shared" ref="L370:L446" si="276">IF(O370&gt;1,"Total","")</f>
        <v/>
      </c>
      <c r="M370" s="46">
        <f t="shared" ref="M370:M446" si="277">IF(O370&gt;1,Label_Scl_Aggr_Parent,IF(O370&lt;1,Label_Scl_Aggr_Child,Label_Scl_Normal))</f>
        <v>0.75</v>
      </c>
      <c r="N370" s="46"/>
      <c r="O370" s="41">
        <f t="shared" si="267"/>
        <v>0</v>
      </c>
      <c r="P370" s="42">
        <v>77000</v>
      </c>
      <c r="Q370" s="44" t="s">
        <v>36</v>
      </c>
      <c r="R370" s="28" t="s">
        <v>55</v>
      </c>
      <c r="S370" s="48">
        <f t="shared" si="254"/>
        <v>539000</v>
      </c>
      <c r="T370" s="48">
        <f t="shared" si="257"/>
        <v>0</v>
      </c>
      <c r="W370" s="28">
        <v>271</v>
      </c>
      <c r="X370" s="105">
        <v>1.49</v>
      </c>
      <c r="Y370" s="105">
        <v>9.9</v>
      </c>
      <c r="Z370" s="73" t="s">
        <v>680</v>
      </c>
      <c r="AA370" s="28">
        <v>0</v>
      </c>
    </row>
    <row r="371" spans="1:27" x14ac:dyDescent="0.25">
      <c r="A371" s="4"/>
      <c r="B371" s="98" t="s">
        <v>760</v>
      </c>
      <c r="C371" s="75" t="s">
        <v>750</v>
      </c>
      <c r="D371" s="28" t="s">
        <v>751</v>
      </c>
      <c r="E371" s="28">
        <f t="shared" si="274"/>
        <v>92122</v>
      </c>
      <c r="F371" s="143" t="str">
        <f>INDEX(PV_Summary!$B$18:$B$118,MATCH($E371,PV_Summary!$A$18:$A$118,0))</f>
        <v>S</v>
      </c>
      <c r="G371" s="123">
        <v>32.868614999999998</v>
      </c>
      <c r="H371" s="61">
        <v>-117.211733</v>
      </c>
      <c r="I371" s="44" t="s">
        <v>3</v>
      </c>
      <c r="J371" s="46">
        <f t="shared" si="275"/>
        <v>0.75</v>
      </c>
      <c r="K371" s="100"/>
      <c r="L371" s="44" t="str">
        <f t="shared" si="276"/>
        <v/>
      </c>
      <c r="M371" s="46">
        <f t="shared" si="277"/>
        <v>0.75</v>
      </c>
      <c r="N371" s="46"/>
      <c r="O371" s="41">
        <f t="shared" si="267"/>
        <v>0</v>
      </c>
      <c r="P371" s="42">
        <v>35000</v>
      </c>
      <c r="Q371" s="44" t="s">
        <v>3</v>
      </c>
      <c r="R371" s="28" t="s">
        <v>55</v>
      </c>
      <c r="S371" s="48">
        <f t="shared" si="254"/>
        <v>245000</v>
      </c>
      <c r="T371" s="48">
        <f t="shared" si="257"/>
        <v>0</v>
      </c>
      <c r="W371" s="28">
        <v>272</v>
      </c>
      <c r="X371" s="105">
        <v>1.34</v>
      </c>
      <c r="Y371" s="105">
        <v>8.9499999999999993</v>
      </c>
      <c r="Z371" s="73" t="s">
        <v>680</v>
      </c>
      <c r="AA371" s="28">
        <v>0</v>
      </c>
    </row>
    <row r="372" spans="1:27" x14ac:dyDescent="0.25">
      <c r="A372" s="4"/>
      <c r="B372" s="98" t="s">
        <v>761</v>
      </c>
      <c r="C372" s="75" t="s">
        <v>750</v>
      </c>
      <c r="D372" s="28" t="s">
        <v>751</v>
      </c>
      <c r="E372" s="28">
        <f t="shared" si="274"/>
        <v>92122</v>
      </c>
      <c r="F372" s="143" t="str">
        <f>INDEX(PV_Summary!$B$18:$B$118,MATCH($E372,PV_Summary!$A$18:$A$118,0))</f>
        <v>S</v>
      </c>
      <c r="G372" s="123">
        <v>32.868020999999999</v>
      </c>
      <c r="H372" s="61">
        <v>-117.212604</v>
      </c>
      <c r="I372" s="44" t="s">
        <v>3</v>
      </c>
      <c r="J372" s="46">
        <f t="shared" si="275"/>
        <v>0.75</v>
      </c>
      <c r="K372" s="100"/>
      <c r="L372" s="44" t="str">
        <f t="shared" si="276"/>
        <v/>
      </c>
      <c r="M372" s="46">
        <f t="shared" si="277"/>
        <v>0.75</v>
      </c>
      <c r="N372" s="46"/>
      <c r="O372" s="41">
        <f t="shared" si="267"/>
        <v>0</v>
      </c>
      <c r="P372" s="42">
        <v>150000</v>
      </c>
      <c r="Q372" s="44" t="s">
        <v>3</v>
      </c>
      <c r="R372" s="28" t="s">
        <v>55</v>
      </c>
      <c r="S372" s="48">
        <f t="shared" si="254"/>
        <v>1050000</v>
      </c>
      <c r="T372" s="48">
        <f t="shared" si="257"/>
        <v>0</v>
      </c>
      <c r="W372" s="28">
        <v>272</v>
      </c>
      <c r="X372" s="105">
        <v>1.34</v>
      </c>
      <c r="Y372" s="105">
        <v>8.9499999999999993</v>
      </c>
      <c r="Z372" s="73" t="s">
        <v>680</v>
      </c>
      <c r="AA372" s="28">
        <v>0</v>
      </c>
    </row>
    <row r="373" spans="1:27" x14ac:dyDescent="0.25">
      <c r="A373" s="4"/>
      <c r="B373" s="62" t="s">
        <v>762</v>
      </c>
      <c r="C373" s="75" t="s">
        <v>763</v>
      </c>
      <c r="D373" s="28" t="s">
        <v>751</v>
      </c>
      <c r="E373" s="28">
        <f t="shared" si="274"/>
        <v>92122</v>
      </c>
      <c r="F373" s="143" t="str">
        <f>INDEX(PV_Summary!$B$18:$B$118,MATCH($E373,PV_Summary!$A$18:$A$118,0))</f>
        <v>S</v>
      </c>
      <c r="G373" s="123">
        <v>32.870899999999999</v>
      </c>
      <c r="H373" s="61">
        <v>-117.198262</v>
      </c>
      <c r="I373" s="44" t="s">
        <v>69</v>
      </c>
      <c r="J373" s="46">
        <f t="shared" ca="1" si="275"/>
        <v>1.5</v>
      </c>
      <c r="K373" s="100"/>
      <c r="L373" s="44" t="str">
        <f t="shared" ca="1" si="276"/>
        <v>Total</v>
      </c>
      <c r="M373" s="46">
        <f t="shared" ca="1" si="277"/>
        <v>1.25</v>
      </c>
      <c r="N373" s="46"/>
      <c r="O373" s="41">
        <f t="shared" ca="1" si="267"/>
        <v>5</v>
      </c>
      <c r="Q373" s="44"/>
      <c r="S373" s="48">
        <f t="shared" si="254"/>
        <v>0</v>
      </c>
      <c r="T373" s="48">
        <f t="shared" ca="1" si="257"/>
        <v>896000</v>
      </c>
      <c r="W373" s="28">
        <v>272</v>
      </c>
      <c r="X373" s="105">
        <v>1.34</v>
      </c>
      <c r="Y373" s="105">
        <v>8.9499999999999993</v>
      </c>
      <c r="Z373" s="73" t="s">
        <v>680</v>
      </c>
      <c r="AA373" s="28"/>
    </row>
    <row r="374" spans="1:27" x14ac:dyDescent="0.25">
      <c r="A374" s="4"/>
      <c r="B374" s="98" t="s">
        <v>767</v>
      </c>
      <c r="C374" s="75" t="s">
        <v>763</v>
      </c>
      <c r="D374" s="28" t="s">
        <v>751</v>
      </c>
      <c r="E374" s="28">
        <f t="shared" si="274"/>
        <v>92122</v>
      </c>
      <c r="F374" s="143" t="str">
        <f>INDEX(PV_Summary!$B$18:$B$118,MATCH($E374,PV_Summary!$A$18:$A$118,0))</f>
        <v>S</v>
      </c>
      <c r="G374" s="123">
        <v>32.870930000000001</v>
      </c>
      <c r="H374" s="61">
        <v>-117.19914</v>
      </c>
      <c r="I374" s="44" t="s">
        <v>37</v>
      </c>
      <c r="J374" s="46">
        <f t="shared" si="275"/>
        <v>0.75</v>
      </c>
      <c r="K374" s="100"/>
      <c r="L374" s="44" t="str">
        <f t="shared" si="276"/>
        <v/>
      </c>
      <c r="M374" s="46">
        <f t="shared" si="277"/>
        <v>0.75</v>
      </c>
      <c r="N374" s="46"/>
      <c r="O374" s="41">
        <f t="shared" si="267"/>
        <v>0</v>
      </c>
      <c r="P374" s="42">
        <v>11000</v>
      </c>
      <c r="Q374" s="44" t="s">
        <v>37</v>
      </c>
      <c r="R374" s="28" t="s">
        <v>55</v>
      </c>
      <c r="S374" s="48">
        <f t="shared" si="254"/>
        <v>77000</v>
      </c>
      <c r="T374" s="48">
        <f t="shared" si="257"/>
        <v>0</v>
      </c>
      <c r="W374" s="28">
        <v>272</v>
      </c>
      <c r="X374" s="105">
        <v>1.34</v>
      </c>
      <c r="Y374" s="105">
        <v>8.9499999999999993</v>
      </c>
      <c r="Z374" s="73" t="s">
        <v>680</v>
      </c>
      <c r="AA374" s="28">
        <v>0</v>
      </c>
    </row>
    <row r="375" spans="1:27" x14ac:dyDescent="0.25">
      <c r="A375" s="4"/>
      <c r="B375" s="98" t="s">
        <v>764</v>
      </c>
      <c r="C375" s="75" t="s">
        <v>763</v>
      </c>
      <c r="D375" s="28" t="s">
        <v>751</v>
      </c>
      <c r="E375" s="28">
        <f t="shared" si="274"/>
        <v>92122</v>
      </c>
      <c r="F375" s="143" t="str">
        <f>INDEX(PV_Summary!$B$18:$B$118,MATCH($E375,PV_Summary!$A$18:$A$118,0))</f>
        <v>S</v>
      </c>
      <c r="G375" s="123">
        <v>32.872306000000002</v>
      </c>
      <c r="H375" s="61">
        <v>-117.200103</v>
      </c>
      <c r="I375" s="44" t="s">
        <v>3</v>
      </c>
      <c r="J375" s="46">
        <f t="shared" si="275"/>
        <v>0.75</v>
      </c>
      <c r="K375" s="100"/>
      <c r="L375" s="44" t="str">
        <f t="shared" si="276"/>
        <v/>
      </c>
      <c r="M375" s="46">
        <f t="shared" si="277"/>
        <v>0.75</v>
      </c>
      <c r="N375" s="46"/>
      <c r="O375" s="41">
        <f t="shared" si="267"/>
        <v>0</v>
      </c>
      <c r="P375" s="42">
        <v>22000</v>
      </c>
      <c r="Q375" s="44" t="s">
        <v>3</v>
      </c>
      <c r="R375" s="28" t="s">
        <v>55</v>
      </c>
      <c r="S375" s="48">
        <f t="shared" si="254"/>
        <v>154000</v>
      </c>
      <c r="T375" s="48">
        <f t="shared" si="257"/>
        <v>0</v>
      </c>
      <c r="W375" s="28">
        <v>272</v>
      </c>
      <c r="X375" s="105">
        <v>1.34</v>
      </c>
      <c r="Y375" s="105">
        <v>8.9499999999999993</v>
      </c>
      <c r="Z375" s="73" t="s">
        <v>680</v>
      </c>
      <c r="AA375" s="28">
        <v>0</v>
      </c>
    </row>
    <row r="376" spans="1:27" x14ac:dyDescent="0.25">
      <c r="A376" s="4"/>
      <c r="B376" s="98" t="s">
        <v>765</v>
      </c>
      <c r="C376" s="75" t="s">
        <v>763</v>
      </c>
      <c r="D376" s="28" t="s">
        <v>751</v>
      </c>
      <c r="E376" s="28">
        <f t="shared" ref="E376:E444" si="278">RIGHT(TRIM(D376),5)*1</f>
        <v>92122</v>
      </c>
      <c r="F376" s="143" t="str">
        <f>INDEX(PV_Summary!$B$18:$B$118,MATCH($E376,PV_Summary!$A$18:$A$118,0))</f>
        <v>S</v>
      </c>
      <c r="G376" s="123">
        <v>32.871948000000003</v>
      </c>
      <c r="H376" s="61">
        <v>-117.198911</v>
      </c>
      <c r="I376" s="44" t="s">
        <v>3</v>
      </c>
      <c r="J376" s="46">
        <f t="shared" si="275"/>
        <v>0.75</v>
      </c>
      <c r="K376" s="100"/>
      <c r="L376" s="44" t="str">
        <f t="shared" si="276"/>
        <v/>
      </c>
      <c r="M376" s="46">
        <f t="shared" si="277"/>
        <v>0.75</v>
      </c>
      <c r="N376" s="46"/>
      <c r="O376" s="41">
        <f t="shared" si="267"/>
        <v>0</v>
      </c>
      <c r="P376" s="42">
        <v>70000</v>
      </c>
      <c r="Q376" s="44" t="s">
        <v>3</v>
      </c>
      <c r="R376" s="28" t="s">
        <v>55</v>
      </c>
      <c r="S376" s="48">
        <f t="shared" si="254"/>
        <v>490000</v>
      </c>
      <c r="T376" s="48">
        <f t="shared" si="257"/>
        <v>0</v>
      </c>
      <c r="W376" s="28">
        <v>272</v>
      </c>
      <c r="X376" s="105">
        <v>1.34</v>
      </c>
      <c r="Y376" s="105">
        <v>8.9499999999999993</v>
      </c>
      <c r="Z376" s="73" t="s">
        <v>680</v>
      </c>
      <c r="AA376" s="28">
        <v>0</v>
      </c>
    </row>
    <row r="377" spans="1:27" x14ac:dyDescent="0.25">
      <c r="A377" s="4"/>
      <c r="B377" s="98" t="s">
        <v>766</v>
      </c>
      <c r="C377" s="75" t="s">
        <v>763</v>
      </c>
      <c r="D377" s="28" t="s">
        <v>751</v>
      </c>
      <c r="E377" s="28">
        <f t="shared" si="278"/>
        <v>92122</v>
      </c>
      <c r="F377" s="143" t="str">
        <f>INDEX(PV_Summary!$B$18:$B$118,MATCH($E377,PV_Summary!$A$18:$A$118,0))</f>
        <v>S</v>
      </c>
      <c r="G377" s="123">
        <v>32.870390999999998</v>
      </c>
      <c r="H377" s="61">
        <v>-117.196901</v>
      </c>
      <c r="I377" s="44" t="s">
        <v>36</v>
      </c>
      <c r="J377" s="46">
        <f t="shared" si="275"/>
        <v>0.75</v>
      </c>
      <c r="K377" s="100"/>
      <c r="L377" s="44" t="str">
        <f t="shared" si="276"/>
        <v/>
      </c>
      <c r="M377" s="46">
        <f t="shared" si="277"/>
        <v>0.75</v>
      </c>
      <c r="N377" s="46"/>
      <c r="O377" s="41">
        <f t="shared" si="267"/>
        <v>0</v>
      </c>
      <c r="P377" s="42">
        <v>25000</v>
      </c>
      <c r="Q377" s="44" t="s">
        <v>36</v>
      </c>
      <c r="R377" s="28" t="s">
        <v>55</v>
      </c>
      <c r="S377" s="48">
        <f t="shared" si="254"/>
        <v>175000</v>
      </c>
      <c r="T377" s="48">
        <f t="shared" si="257"/>
        <v>0</v>
      </c>
      <c r="W377" s="28">
        <v>272</v>
      </c>
      <c r="X377" s="105">
        <v>1.34</v>
      </c>
      <c r="Y377" s="105">
        <v>8.9499999999999993</v>
      </c>
      <c r="Z377" s="73" t="s">
        <v>680</v>
      </c>
      <c r="AA377" s="28">
        <v>200</v>
      </c>
    </row>
    <row r="378" spans="1:27" x14ac:dyDescent="0.25">
      <c r="A378" s="4"/>
      <c r="B378" s="62" t="s">
        <v>768</v>
      </c>
      <c r="C378" s="75" t="s">
        <v>769</v>
      </c>
      <c r="D378" s="28" t="s">
        <v>770</v>
      </c>
      <c r="E378" s="28">
        <f t="shared" si="278"/>
        <v>92111</v>
      </c>
      <c r="F378" s="143" t="str">
        <f>INDEX(PV_Summary!$B$18:$B$118,MATCH($E378,PV_Summary!$A$18:$A$118,0))</f>
        <v>S</v>
      </c>
      <c r="G378" s="123">
        <v>32.840926000000003</v>
      </c>
      <c r="H378" s="61">
        <v>-117.165976</v>
      </c>
      <c r="I378" s="44" t="s">
        <v>69</v>
      </c>
      <c r="J378" s="46">
        <f t="shared" ca="1" si="275"/>
        <v>1.5</v>
      </c>
      <c r="K378" s="100"/>
      <c r="L378" s="44" t="str">
        <f t="shared" ca="1" si="276"/>
        <v>Total</v>
      </c>
      <c r="M378" s="46">
        <f t="shared" ca="1" si="277"/>
        <v>1.25</v>
      </c>
      <c r="N378" s="46"/>
      <c r="O378" s="41">
        <f t="shared" ca="1" si="267"/>
        <v>4</v>
      </c>
      <c r="Q378" s="44"/>
      <c r="S378" s="48">
        <f t="shared" si="254"/>
        <v>0</v>
      </c>
      <c r="T378" s="48">
        <f t="shared" ca="1" si="257"/>
        <v>2134000</v>
      </c>
      <c r="W378" s="28">
        <v>776</v>
      </c>
      <c r="X378" s="105">
        <v>1.73</v>
      </c>
      <c r="Y378" s="105">
        <v>11.5</v>
      </c>
      <c r="Z378" s="73" t="s">
        <v>777</v>
      </c>
      <c r="AA378" s="28"/>
    </row>
    <row r="379" spans="1:27" x14ac:dyDescent="0.25">
      <c r="A379" s="4"/>
      <c r="B379" s="98" t="s">
        <v>771</v>
      </c>
      <c r="C379" s="75" t="s">
        <v>769</v>
      </c>
      <c r="D379" s="28" t="s">
        <v>770</v>
      </c>
      <c r="E379" s="28">
        <f t="shared" si="278"/>
        <v>92111</v>
      </c>
      <c r="F379" s="143" t="str">
        <f>INDEX(PV_Summary!$B$18:$B$118,MATCH($E379,PV_Summary!$A$18:$A$118,0))</f>
        <v>S</v>
      </c>
      <c r="G379" s="123">
        <v>32.842402</v>
      </c>
      <c r="H379" s="61">
        <v>-117.167001</v>
      </c>
      <c r="I379" s="44" t="s">
        <v>37</v>
      </c>
      <c r="J379" s="46">
        <f t="shared" si="275"/>
        <v>0.75</v>
      </c>
      <c r="K379" s="100"/>
      <c r="L379" s="44" t="str">
        <f t="shared" si="276"/>
        <v/>
      </c>
      <c r="M379" s="46">
        <f t="shared" si="277"/>
        <v>0.75</v>
      </c>
      <c r="N379" s="46"/>
      <c r="O379" s="41">
        <f t="shared" si="267"/>
        <v>0</v>
      </c>
      <c r="P379" s="42">
        <v>113000</v>
      </c>
      <c r="Q379" s="44" t="s">
        <v>37</v>
      </c>
      <c r="R379" s="28" t="s">
        <v>56</v>
      </c>
      <c r="S379" s="48">
        <f t="shared" si="254"/>
        <v>678000</v>
      </c>
      <c r="T379" s="48">
        <f t="shared" si="257"/>
        <v>0</v>
      </c>
      <c r="W379" s="28">
        <v>776</v>
      </c>
      <c r="X379" s="105">
        <v>1.73</v>
      </c>
      <c r="Y379" s="105">
        <v>11.5</v>
      </c>
      <c r="Z379" s="73" t="s">
        <v>777</v>
      </c>
      <c r="AA379" s="28">
        <v>0</v>
      </c>
    </row>
    <row r="380" spans="1:27" x14ac:dyDescent="0.25">
      <c r="A380" s="4"/>
      <c r="B380" s="98" t="s">
        <v>772</v>
      </c>
      <c r="C380" s="75" t="s">
        <v>769</v>
      </c>
      <c r="D380" s="28" t="s">
        <v>770</v>
      </c>
      <c r="E380" s="28">
        <f t="shared" si="278"/>
        <v>92111</v>
      </c>
      <c r="F380" s="143" t="str">
        <f>INDEX(PV_Summary!$B$18:$B$118,MATCH($E380,PV_Summary!$A$18:$A$118,0))</f>
        <v>S</v>
      </c>
      <c r="G380" s="123">
        <v>32.841422000000001</v>
      </c>
      <c r="H380" s="61">
        <v>-117.166308</v>
      </c>
      <c r="I380" s="44" t="s">
        <v>3</v>
      </c>
      <c r="J380" s="46">
        <f t="shared" si="275"/>
        <v>0.75</v>
      </c>
      <c r="K380" s="100"/>
      <c r="L380" s="44" t="str">
        <f t="shared" si="276"/>
        <v/>
      </c>
      <c r="M380" s="46">
        <f t="shared" si="277"/>
        <v>0.75</v>
      </c>
      <c r="N380" s="46"/>
      <c r="O380" s="41">
        <f t="shared" si="267"/>
        <v>0</v>
      </c>
      <c r="P380" s="42">
        <v>160000</v>
      </c>
      <c r="Q380" s="44" t="s">
        <v>3</v>
      </c>
      <c r="R380" s="28" t="s">
        <v>55</v>
      </c>
      <c r="S380" s="48">
        <f t="shared" si="254"/>
        <v>1120000</v>
      </c>
      <c r="T380" s="48">
        <f t="shared" si="257"/>
        <v>0</v>
      </c>
      <c r="W380" s="28">
        <v>776</v>
      </c>
      <c r="X380" s="105">
        <v>1.73</v>
      </c>
      <c r="Y380" s="105">
        <v>11.5</v>
      </c>
      <c r="Z380" s="73" t="s">
        <v>777</v>
      </c>
      <c r="AA380" s="28">
        <v>200</v>
      </c>
    </row>
    <row r="381" spans="1:27" x14ac:dyDescent="0.25">
      <c r="A381" s="4"/>
      <c r="B381" s="98" t="s">
        <v>773</v>
      </c>
      <c r="C381" s="75" t="s">
        <v>769</v>
      </c>
      <c r="D381" s="28" t="s">
        <v>770</v>
      </c>
      <c r="E381" s="28">
        <f t="shared" si="278"/>
        <v>92111</v>
      </c>
      <c r="F381" s="143" t="str">
        <f>INDEX(PV_Summary!$B$18:$B$118,MATCH($E381,PV_Summary!$A$18:$A$118,0))</f>
        <v>S</v>
      </c>
      <c r="G381" s="123">
        <v>32.840560000000004</v>
      </c>
      <c r="H381" s="61">
        <v>-117.16454299999999</v>
      </c>
      <c r="I381" s="44" t="s">
        <v>37</v>
      </c>
      <c r="J381" s="46">
        <f t="shared" si="275"/>
        <v>0.75</v>
      </c>
      <c r="K381" s="100"/>
      <c r="L381" s="44" t="str">
        <f t="shared" si="276"/>
        <v/>
      </c>
      <c r="M381" s="46">
        <f t="shared" si="277"/>
        <v>0.75</v>
      </c>
      <c r="N381" s="46"/>
      <c r="O381" s="41">
        <f t="shared" si="267"/>
        <v>0</v>
      </c>
      <c r="P381" s="42">
        <v>56000</v>
      </c>
      <c r="Q381" s="44" t="s">
        <v>37</v>
      </c>
      <c r="R381" s="28" t="s">
        <v>56</v>
      </c>
      <c r="S381" s="48">
        <f t="shared" si="254"/>
        <v>336000</v>
      </c>
      <c r="T381" s="48">
        <f t="shared" si="257"/>
        <v>0</v>
      </c>
      <c r="W381" s="28">
        <v>776</v>
      </c>
      <c r="X381" s="105">
        <v>1.73</v>
      </c>
      <c r="Y381" s="105">
        <v>11.5</v>
      </c>
      <c r="Z381" s="73" t="s">
        <v>777</v>
      </c>
      <c r="AA381" s="28">
        <v>0</v>
      </c>
    </row>
    <row r="382" spans="1:27" x14ac:dyDescent="0.25">
      <c r="A382" s="4"/>
      <c r="B382" s="62" t="s">
        <v>996</v>
      </c>
      <c r="C382" s="75" t="s">
        <v>997</v>
      </c>
      <c r="D382" s="28" t="s">
        <v>998</v>
      </c>
      <c r="E382" s="28">
        <f t="shared" si="278"/>
        <v>92117</v>
      </c>
      <c r="F382" s="143" t="str">
        <f>INDEX(PV_Summary!$B$18:$B$118,MATCH($E382,PV_Summary!$A$18:$A$118,0))</f>
        <v>S</v>
      </c>
      <c r="G382" s="123">
        <v>32.822651</v>
      </c>
      <c r="H382" s="61">
        <v>-117.22615</v>
      </c>
      <c r="I382" s="44" t="s">
        <v>62</v>
      </c>
      <c r="J382" s="46">
        <f t="shared" ref="J382:J386" ca="1" si="279">IF(O382&gt;1,Sym_Scl_Aggr_Parent,IF(O382&lt;1,Sym_Scl_Aggr_Child,Sym_Scl_Normal))</f>
        <v>1.5</v>
      </c>
      <c r="K382" s="100"/>
      <c r="L382" s="44" t="str">
        <f t="shared" ref="L382:L386" ca="1" si="280">IF(O382&gt;1,"Total","")</f>
        <v>Total</v>
      </c>
      <c r="M382" s="46">
        <f t="shared" ref="M382:M386" ca="1" si="281">IF(O382&gt;1,Label_Scl_Aggr_Parent,IF(O382&lt;1,Label_Scl_Aggr_Child,Label_Scl_Normal))</f>
        <v>1.25</v>
      </c>
      <c r="N382" s="46"/>
      <c r="O382" s="41">
        <f t="shared" ca="1" si="267"/>
        <v>5</v>
      </c>
      <c r="Q382" s="44"/>
      <c r="S382" s="48">
        <f t="shared" si="254"/>
        <v>0</v>
      </c>
      <c r="T382" s="48">
        <f t="shared" ca="1" si="257"/>
        <v>2649500</v>
      </c>
      <c r="W382" s="28"/>
      <c r="X382" s="105"/>
      <c r="Y382" s="105"/>
      <c r="Z382" s="73"/>
      <c r="AA382" s="28"/>
    </row>
    <row r="383" spans="1:27" x14ac:dyDescent="0.25">
      <c r="A383" s="4"/>
      <c r="B383" s="98" t="s">
        <v>1001</v>
      </c>
      <c r="C383" s="75" t="s">
        <v>997</v>
      </c>
      <c r="D383" s="28" t="s">
        <v>998</v>
      </c>
      <c r="E383" s="28">
        <f t="shared" ref="E383:E386" si="282">RIGHT(TRIM(D383),5)*1</f>
        <v>92117</v>
      </c>
      <c r="F383" s="143" t="str">
        <f>INDEX(PV_Summary!$B$18:$B$118,MATCH($E383,PV_Summary!$A$18:$A$118,0))</f>
        <v>S</v>
      </c>
      <c r="G383" s="123">
        <v>32.823188999999999</v>
      </c>
      <c r="H383" s="61">
        <v>-117.22600199999999</v>
      </c>
      <c r="I383" s="44" t="s">
        <v>134</v>
      </c>
      <c r="J383" s="46">
        <f t="shared" si="279"/>
        <v>0.75</v>
      </c>
      <c r="K383" s="100"/>
      <c r="L383" s="44" t="str">
        <f t="shared" si="280"/>
        <v/>
      </c>
      <c r="M383" s="46">
        <f t="shared" si="281"/>
        <v>0.75</v>
      </c>
      <c r="N383" s="46"/>
      <c r="O383" s="41">
        <f t="shared" si="267"/>
        <v>0</v>
      </c>
      <c r="P383" s="42">
        <f>48000/2</f>
        <v>24000</v>
      </c>
      <c r="Q383" s="44" t="s">
        <v>134</v>
      </c>
      <c r="R383" s="28" t="s">
        <v>55</v>
      </c>
      <c r="S383" s="48">
        <f t="shared" si="254"/>
        <v>168000</v>
      </c>
      <c r="T383" s="48">
        <f t="shared" si="257"/>
        <v>0</v>
      </c>
      <c r="U383" s="28" t="s">
        <v>1003</v>
      </c>
      <c r="W383" s="28">
        <v>69</v>
      </c>
      <c r="X383" s="105">
        <v>1.44</v>
      </c>
      <c r="Y383" s="105">
        <v>9.6300000000000008</v>
      </c>
      <c r="Z383" s="73" t="s">
        <v>745</v>
      </c>
      <c r="AA383" s="28">
        <v>100</v>
      </c>
    </row>
    <row r="384" spans="1:27" x14ac:dyDescent="0.25">
      <c r="A384" s="4"/>
      <c r="B384" s="98" t="s">
        <v>1002</v>
      </c>
      <c r="C384" s="75" t="s">
        <v>997</v>
      </c>
      <c r="D384" s="28" t="s">
        <v>998</v>
      </c>
      <c r="E384" s="28">
        <f t="shared" si="282"/>
        <v>92117</v>
      </c>
      <c r="F384" s="143" t="str">
        <f>INDEX(PV_Summary!$B$18:$B$118,MATCH($E384,PV_Summary!$A$18:$A$118,0))</f>
        <v>S</v>
      </c>
      <c r="G384" s="123">
        <v>32.821928</v>
      </c>
      <c r="H384" s="61">
        <v>-117.225472</v>
      </c>
      <c r="I384" s="44" t="s">
        <v>134</v>
      </c>
      <c r="J384" s="46">
        <f t="shared" si="279"/>
        <v>0.75</v>
      </c>
      <c r="K384" s="100"/>
      <c r="L384" s="44" t="str">
        <f t="shared" si="280"/>
        <v/>
      </c>
      <c r="M384" s="46">
        <f t="shared" si="281"/>
        <v>0.75</v>
      </c>
      <c r="N384" s="46"/>
      <c r="O384" s="41">
        <f t="shared" si="267"/>
        <v>0</v>
      </c>
      <c r="P384" s="42">
        <f>115000/2</f>
        <v>57500</v>
      </c>
      <c r="Q384" s="44" t="s">
        <v>134</v>
      </c>
      <c r="R384" s="28" t="s">
        <v>55</v>
      </c>
      <c r="S384" s="48">
        <f t="shared" si="254"/>
        <v>402500</v>
      </c>
      <c r="T384" s="48">
        <f t="shared" si="257"/>
        <v>0</v>
      </c>
      <c r="U384" s="28" t="s">
        <v>1004</v>
      </c>
      <c r="W384" s="28">
        <v>69</v>
      </c>
      <c r="X384" s="105">
        <v>1.44</v>
      </c>
      <c r="Y384" s="105">
        <v>9.6300000000000008</v>
      </c>
      <c r="Z384" s="73" t="s">
        <v>745</v>
      </c>
      <c r="AA384" s="28">
        <v>50</v>
      </c>
    </row>
    <row r="385" spans="1:27" x14ac:dyDescent="0.25">
      <c r="A385" s="4"/>
      <c r="B385" s="98" t="s">
        <v>999</v>
      </c>
      <c r="C385" s="75" t="s">
        <v>997</v>
      </c>
      <c r="D385" s="28" t="s">
        <v>998</v>
      </c>
      <c r="E385" s="28">
        <f t="shared" si="282"/>
        <v>92117</v>
      </c>
      <c r="F385" s="143" t="str">
        <f>INDEX(PV_Summary!$B$18:$B$118,MATCH($E385,PV_Summary!$A$18:$A$118,0))</f>
        <v>S</v>
      </c>
      <c r="G385" s="123">
        <v>32.823825999999997</v>
      </c>
      <c r="H385" s="61">
        <v>-117.226293</v>
      </c>
      <c r="I385" s="44" t="s">
        <v>3</v>
      </c>
      <c r="J385" s="46">
        <f t="shared" si="279"/>
        <v>0.75</v>
      </c>
      <c r="K385" s="100"/>
      <c r="L385" s="44" t="str">
        <f t="shared" si="280"/>
        <v/>
      </c>
      <c r="M385" s="46">
        <f t="shared" si="281"/>
        <v>0.75</v>
      </c>
      <c r="N385" s="46"/>
      <c r="O385" s="41">
        <f t="shared" si="267"/>
        <v>0</v>
      </c>
      <c r="P385" s="42">
        <v>102000</v>
      </c>
      <c r="Q385" s="44" t="s">
        <v>3</v>
      </c>
      <c r="R385" s="28" t="s">
        <v>55</v>
      </c>
      <c r="S385" s="48">
        <f t="shared" si="254"/>
        <v>714000</v>
      </c>
      <c r="T385" s="48">
        <f t="shared" si="257"/>
        <v>0</v>
      </c>
      <c r="W385" s="28">
        <v>69</v>
      </c>
      <c r="X385" s="105">
        <v>1.44</v>
      </c>
      <c r="Y385" s="105">
        <v>9.6300000000000008</v>
      </c>
      <c r="Z385" s="73" t="s">
        <v>745</v>
      </c>
      <c r="AA385" s="28">
        <v>0</v>
      </c>
    </row>
    <row r="386" spans="1:27" x14ac:dyDescent="0.25">
      <c r="A386" s="4"/>
      <c r="B386" s="98" t="s">
        <v>1000</v>
      </c>
      <c r="C386" s="75" t="s">
        <v>997</v>
      </c>
      <c r="D386" s="28" t="s">
        <v>998</v>
      </c>
      <c r="E386" s="28">
        <f t="shared" si="282"/>
        <v>92117</v>
      </c>
      <c r="F386" s="143" t="str">
        <f>INDEX(PV_Summary!$B$18:$B$118,MATCH($E386,PV_Summary!$A$18:$A$118,0))</f>
        <v>S</v>
      </c>
      <c r="G386" s="123">
        <v>32.820802999999998</v>
      </c>
      <c r="H386" s="61">
        <v>-117.224294</v>
      </c>
      <c r="I386" s="44" t="s">
        <v>3</v>
      </c>
      <c r="J386" s="46">
        <f t="shared" si="279"/>
        <v>0.75</v>
      </c>
      <c r="K386" s="100"/>
      <c r="L386" s="44" t="str">
        <f t="shared" si="280"/>
        <v/>
      </c>
      <c r="M386" s="46">
        <f t="shared" si="281"/>
        <v>0.75</v>
      </c>
      <c r="N386" s="46"/>
      <c r="O386" s="41">
        <f t="shared" si="267"/>
        <v>0</v>
      </c>
      <c r="P386" s="42">
        <v>195000</v>
      </c>
      <c r="Q386" s="44" t="s">
        <v>3</v>
      </c>
      <c r="R386" s="28" t="s">
        <v>55</v>
      </c>
      <c r="S386" s="48">
        <f t="shared" si="254"/>
        <v>1365000</v>
      </c>
      <c r="T386" s="48">
        <f t="shared" si="257"/>
        <v>0</v>
      </c>
      <c r="W386" s="28">
        <v>69</v>
      </c>
      <c r="X386" s="105">
        <v>1.44</v>
      </c>
      <c r="Y386" s="105">
        <v>9.6300000000000008</v>
      </c>
      <c r="Z386" s="73" t="s">
        <v>745</v>
      </c>
      <c r="AA386" s="28">
        <v>0</v>
      </c>
    </row>
    <row r="387" spans="1:27" x14ac:dyDescent="0.25">
      <c r="A387" s="4"/>
      <c r="B387" s="62" t="s">
        <v>1367</v>
      </c>
      <c r="C387" s="75" t="s">
        <v>1368</v>
      </c>
      <c r="D387" s="28" t="s">
        <v>998</v>
      </c>
      <c r="E387" s="28">
        <f t="shared" ref="E387:E390" si="283">RIGHT(TRIM(D387),5)*1</f>
        <v>92117</v>
      </c>
      <c r="F387" s="143" t="str">
        <f>INDEX(PV_Summary!$B$18:$B$118,MATCH($E387,PV_Summary!$A$18:$A$118,0))</f>
        <v>S</v>
      </c>
      <c r="G387" s="123">
        <v>32.835244000000003</v>
      </c>
      <c r="H387" s="61">
        <v>-117.188666</v>
      </c>
      <c r="I387" s="44" t="s">
        <v>62</v>
      </c>
      <c r="J387" s="46">
        <f t="shared" ref="J387:J391" ca="1" si="284">IF(O387&gt;1,Sym_Scl_Aggr_Parent,IF(O387&lt;1,Sym_Scl_Aggr_Child,Sym_Scl_Normal))</f>
        <v>1.5</v>
      </c>
      <c r="K387" s="100"/>
      <c r="L387" s="44" t="str">
        <f t="shared" ref="L387:L391" ca="1" si="285">IF(O387&gt;1,"Total","")</f>
        <v>Total</v>
      </c>
      <c r="M387" s="46">
        <f t="shared" ref="M387:M391" ca="1" si="286">IF(O387&gt;1,Label_Scl_Aggr_Parent,IF(O387&lt;1,Label_Scl_Aggr_Child,Label_Scl_Normal))</f>
        <v>1.25</v>
      </c>
      <c r="N387" s="46"/>
      <c r="O387" s="41">
        <f t="shared" ca="1" si="267"/>
        <v>4</v>
      </c>
      <c r="Q387" s="44"/>
      <c r="S387" s="48">
        <f t="shared" si="254"/>
        <v>0</v>
      </c>
      <c r="T387" s="48">
        <f t="shared" ref="T387:T423" ca="1" si="287">SUMIF($C:$C,$C387,$S:$S)*IF($O387&gt;=1,1,0)</f>
        <v>886900</v>
      </c>
      <c r="U387" s="28" t="s">
        <v>1372</v>
      </c>
      <c r="W387" s="28">
        <v>279</v>
      </c>
      <c r="X387" s="105">
        <v>1.32</v>
      </c>
      <c r="Y387" s="105">
        <v>8.77</v>
      </c>
      <c r="Z387" s="73" t="s">
        <v>979</v>
      </c>
      <c r="AA387" s="28">
        <v>0</v>
      </c>
    </row>
    <row r="388" spans="1:27" x14ac:dyDescent="0.25">
      <c r="A388" s="4"/>
      <c r="B388" s="98" t="s">
        <v>1371</v>
      </c>
      <c r="C388" s="75" t="s">
        <v>1368</v>
      </c>
      <c r="D388" s="28" t="s">
        <v>998</v>
      </c>
      <c r="E388" s="28">
        <f t="shared" si="283"/>
        <v>92117</v>
      </c>
      <c r="F388" s="143" t="str">
        <f>INDEX(PV_Summary!$B$18:$B$118,MATCH($E388,PV_Summary!$A$18:$A$118,0))</f>
        <v>S</v>
      </c>
      <c r="G388" s="123">
        <v>32.835504</v>
      </c>
      <c r="H388" s="61">
        <v>-117.18836</v>
      </c>
      <c r="I388" s="44" t="s">
        <v>210</v>
      </c>
      <c r="J388" s="46">
        <f t="shared" si="284"/>
        <v>0.75</v>
      </c>
      <c r="K388" s="100" t="s">
        <v>157</v>
      </c>
      <c r="L388" s="44" t="str">
        <f t="shared" si="285"/>
        <v/>
      </c>
      <c r="M388" s="46">
        <f t="shared" si="286"/>
        <v>0.75</v>
      </c>
      <c r="N388" s="46"/>
      <c r="O388" s="41">
        <f t="shared" si="267"/>
        <v>0</v>
      </c>
      <c r="Q388" s="44" t="s">
        <v>172</v>
      </c>
      <c r="S388" s="48">
        <f t="shared" si="254"/>
        <v>0</v>
      </c>
      <c r="T388" s="48">
        <f t="shared" si="287"/>
        <v>0</v>
      </c>
      <c r="W388" s="28">
        <v>279</v>
      </c>
      <c r="X388" s="105">
        <v>1.32</v>
      </c>
      <c r="Y388" s="105">
        <v>8.77</v>
      </c>
      <c r="Z388" s="73" t="s">
        <v>979</v>
      </c>
      <c r="AA388" s="28">
        <v>0</v>
      </c>
    </row>
    <row r="389" spans="1:27" x14ac:dyDescent="0.25">
      <c r="A389" s="4"/>
      <c r="B389" s="98" t="s">
        <v>1369</v>
      </c>
      <c r="C389" s="75" t="s">
        <v>1368</v>
      </c>
      <c r="D389" s="28" t="s">
        <v>998</v>
      </c>
      <c r="E389" s="28">
        <f t="shared" si="283"/>
        <v>92117</v>
      </c>
      <c r="F389" s="143" t="str">
        <f>INDEX(PV_Summary!$B$18:$B$118,MATCH($E389,PV_Summary!$A$18:$A$118,0))</f>
        <v>S</v>
      </c>
      <c r="G389" s="123">
        <v>32.834986000000001</v>
      </c>
      <c r="H389" s="61">
        <v>-117.18825</v>
      </c>
      <c r="I389" s="44" t="s">
        <v>3</v>
      </c>
      <c r="J389" s="46">
        <f t="shared" si="284"/>
        <v>0.75</v>
      </c>
      <c r="K389" s="100"/>
      <c r="L389" s="44" t="str">
        <f t="shared" si="285"/>
        <v/>
      </c>
      <c r="M389" s="46">
        <f t="shared" si="286"/>
        <v>0.75</v>
      </c>
      <c r="N389" s="46"/>
      <c r="O389" s="41">
        <f t="shared" si="267"/>
        <v>0</v>
      </c>
      <c r="P389" s="42">
        <v>123000</v>
      </c>
      <c r="Q389" s="44" t="s">
        <v>3</v>
      </c>
      <c r="R389" s="28" t="s">
        <v>55</v>
      </c>
      <c r="S389" s="48">
        <f t="shared" si="254"/>
        <v>861000</v>
      </c>
      <c r="T389" s="48">
        <f t="shared" si="287"/>
        <v>0</v>
      </c>
      <c r="U389" s="28" t="s">
        <v>1372</v>
      </c>
      <c r="W389" s="28">
        <v>279</v>
      </c>
      <c r="X389" s="105">
        <v>1.32</v>
      </c>
      <c r="Y389" s="105">
        <v>8.77</v>
      </c>
      <c r="Z389" s="73" t="s">
        <v>979</v>
      </c>
      <c r="AA389" s="28">
        <v>0</v>
      </c>
    </row>
    <row r="390" spans="1:27" x14ac:dyDescent="0.25">
      <c r="A390" s="4"/>
      <c r="B390" s="98" t="s">
        <v>1370</v>
      </c>
      <c r="C390" s="75" t="s">
        <v>1368</v>
      </c>
      <c r="D390" s="28" t="s">
        <v>998</v>
      </c>
      <c r="E390" s="28">
        <f t="shared" si="283"/>
        <v>92117</v>
      </c>
      <c r="F390" s="143" t="str">
        <f>INDEX(PV_Summary!$B$18:$B$118,MATCH($E390,PV_Summary!$A$18:$A$118,0))</f>
        <v>S</v>
      </c>
      <c r="G390" s="123">
        <v>32.835698999999998</v>
      </c>
      <c r="H390" s="61">
        <v>-117.187887</v>
      </c>
      <c r="I390" s="44" t="s">
        <v>37</v>
      </c>
      <c r="J390" s="46">
        <f t="shared" si="284"/>
        <v>0.75</v>
      </c>
      <c r="K390" s="100"/>
      <c r="L390" s="44" t="str">
        <f t="shared" si="285"/>
        <v/>
      </c>
      <c r="M390" s="46">
        <f t="shared" si="286"/>
        <v>0.75</v>
      </c>
      <c r="N390" s="46"/>
      <c r="O390" s="41">
        <f t="shared" si="267"/>
        <v>0</v>
      </c>
      <c r="P390" s="42">
        <v>3700</v>
      </c>
      <c r="Q390" s="44" t="s">
        <v>37</v>
      </c>
      <c r="R390" s="28" t="s">
        <v>55</v>
      </c>
      <c r="S390" s="48">
        <f t="shared" si="254"/>
        <v>25900</v>
      </c>
      <c r="T390" s="48">
        <f t="shared" si="287"/>
        <v>0</v>
      </c>
      <c r="W390" s="28">
        <v>279</v>
      </c>
      <c r="X390" s="105">
        <v>1.32</v>
      </c>
      <c r="Y390" s="105">
        <v>8.77</v>
      </c>
      <c r="Z390" s="73" t="s">
        <v>979</v>
      </c>
      <c r="AA390" s="28">
        <v>0</v>
      </c>
    </row>
    <row r="391" spans="1:27" x14ac:dyDescent="0.25">
      <c r="A391" s="4"/>
      <c r="B391" s="62" t="s">
        <v>966</v>
      </c>
      <c r="C391" s="75" t="s">
        <v>962</v>
      </c>
      <c r="D391" s="28" t="s">
        <v>770</v>
      </c>
      <c r="E391" s="28">
        <f t="shared" si="278"/>
        <v>92111</v>
      </c>
      <c r="F391" s="143" t="str">
        <f>INDEX(PV_Summary!$B$18:$B$118,MATCH($E391,PV_Summary!$A$18:$A$118,0))</f>
        <v>S</v>
      </c>
      <c r="G391" s="123">
        <v>32.821761000000002</v>
      </c>
      <c r="H391" s="61">
        <v>-117.180013</v>
      </c>
      <c r="I391" s="44" t="s">
        <v>62</v>
      </c>
      <c r="J391" s="46">
        <f t="shared" ca="1" si="284"/>
        <v>1.5</v>
      </c>
      <c r="K391" s="100"/>
      <c r="L391" s="44" t="str">
        <f t="shared" ca="1" si="285"/>
        <v>Total</v>
      </c>
      <c r="M391" s="46">
        <f t="shared" ca="1" si="286"/>
        <v>1.25</v>
      </c>
      <c r="N391" s="46"/>
      <c r="O391" s="41">
        <f t="shared" ca="1" si="267"/>
        <v>7</v>
      </c>
      <c r="Q391" s="44"/>
      <c r="S391" s="48">
        <f t="shared" si="254"/>
        <v>0</v>
      </c>
      <c r="T391" s="48">
        <f t="shared" ca="1" si="287"/>
        <v>5265000</v>
      </c>
      <c r="W391" s="28">
        <v>274</v>
      </c>
      <c r="X391" s="105">
        <v>1.17</v>
      </c>
      <c r="Y391" s="105">
        <v>7.78</v>
      </c>
      <c r="Z391" s="73" t="s">
        <v>979</v>
      </c>
      <c r="AA391" s="28"/>
    </row>
    <row r="392" spans="1:27" x14ac:dyDescent="0.25">
      <c r="A392" s="4"/>
      <c r="B392" s="98" t="s">
        <v>513</v>
      </c>
      <c r="C392" s="75" t="s">
        <v>962</v>
      </c>
      <c r="D392" s="28" t="s">
        <v>770</v>
      </c>
      <c r="E392" s="28">
        <f t="shared" ref="E392:E398" si="288">RIGHT(TRIM(D392),5)*1</f>
        <v>92111</v>
      </c>
      <c r="F392" s="143" t="str">
        <f>INDEX(PV_Summary!$B$18:$B$118,MATCH($E392,PV_Summary!$A$18:$A$118,0))</f>
        <v>S</v>
      </c>
      <c r="G392" s="123">
        <v>32.822833000000003</v>
      </c>
      <c r="H392" s="61">
        <v>-117.181054</v>
      </c>
      <c r="I392" s="44" t="s">
        <v>37</v>
      </c>
      <c r="J392" s="46">
        <f t="shared" ref="J392:J397" si="289">IF(O392&gt;1,Sym_Scl_Aggr_Parent,IF(O392&lt;1,Sym_Scl_Aggr_Child,Sym_Scl_Normal))</f>
        <v>0.75</v>
      </c>
      <c r="K392" s="100"/>
      <c r="L392" s="44" t="str">
        <f t="shared" ref="L392:L397" si="290">IF(O392&gt;1,"Total","")</f>
        <v/>
      </c>
      <c r="M392" s="46">
        <f t="shared" ref="M392:M397" si="291">IF(O392&gt;1,Label_Scl_Aggr_Parent,IF(O392&lt;1,Label_Scl_Aggr_Child,Label_Scl_Normal))</f>
        <v>0.75</v>
      </c>
      <c r="N392" s="46"/>
      <c r="O392" s="41">
        <f t="shared" si="267"/>
        <v>0</v>
      </c>
      <c r="P392" s="42">
        <v>115000</v>
      </c>
      <c r="Q392" s="44" t="s">
        <v>37</v>
      </c>
      <c r="R392" s="28" t="s">
        <v>57</v>
      </c>
      <c r="S392" s="48">
        <f t="shared" si="254"/>
        <v>575000</v>
      </c>
      <c r="T392" s="48">
        <f t="shared" si="287"/>
        <v>0</v>
      </c>
      <c r="W392" s="28">
        <v>274</v>
      </c>
      <c r="X392" s="105">
        <v>1.17</v>
      </c>
      <c r="Y392" s="105">
        <v>7.78</v>
      </c>
      <c r="Z392" s="73" t="s">
        <v>979</v>
      </c>
      <c r="AA392" s="28">
        <v>0</v>
      </c>
    </row>
    <row r="393" spans="1:27" x14ac:dyDescent="0.25">
      <c r="A393" s="4"/>
      <c r="B393" s="98" t="s">
        <v>210</v>
      </c>
      <c r="C393" s="75" t="s">
        <v>962</v>
      </c>
      <c r="D393" s="28" t="s">
        <v>770</v>
      </c>
      <c r="E393" s="28">
        <f t="shared" si="288"/>
        <v>92111</v>
      </c>
      <c r="F393" s="143" t="str">
        <f>INDEX(PV_Summary!$B$18:$B$118,MATCH($E393,PV_Summary!$A$18:$A$118,0))</f>
        <v>S</v>
      </c>
      <c r="G393" s="123">
        <v>32.822124000000002</v>
      </c>
      <c r="H393" s="61">
        <v>-117.178781</v>
      </c>
      <c r="I393" s="44" t="s">
        <v>37</v>
      </c>
      <c r="J393" s="46">
        <f t="shared" si="289"/>
        <v>0.75</v>
      </c>
      <c r="K393" s="100"/>
      <c r="L393" s="44" t="str">
        <f t="shared" si="290"/>
        <v/>
      </c>
      <c r="M393" s="46">
        <f t="shared" si="291"/>
        <v>0.75</v>
      </c>
      <c r="N393" s="46"/>
      <c r="O393" s="41">
        <f t="shared" si="267"/>
        <v>0</v>
      </c>
      <c r="P393" s="42">
        <v>147000</v>
      </c>
      <c r="Q393" s="44" t="s">
        <v>37</v>
      </c>
      <c r="R393" s="28" t="s">
        <v>56</v>
      </c>
      <c r="S393" s="48">
        <f t="shared" si="254"/>
        <v>882000</v>
      </c>
      <c r="T393" s="48">
        <f t="shared" si="287"/>
        <v>0</v>
      </c>
      <c r="W393" s="28">
        <v>274</v>
      </c>
      <c r="X393" s="105">
        <v>1.17</v>
      </c>
      <c r="Y393" s="105">
        <v>7.78</v>
      </c>
      <c r="Z393" s="73" t="s">
        <v>979</v>
      </c>
      <c r="AA393" s="28">
        <v>0</v>
      </c>
    </row>
    <row r="394" spans="1:27" x14ac:dyDescent="0.25">
      <c r="A394" s="4"/>
      <c r="B394" s="98" t="s">
        <v>980</v>
      </c>
      <c r="C394" s="75" t="s">
        <v>962</v>
      </c>
      <c r="D394" s="28" t="s">
        <v>770</v>
      </c>
      <c r="E394" s="28">
        <f t="shared" si="288"/>
        <v>92111</v>
      </c>
      <c r="F394" s="143" t="str">
        <f>INDEX(PV_Summary!$B$18:$B$118,MATCH($E394,PV_Summary!$A$18:$A$118,0))</f>
        <v>S</v>
      </c>
      <c r="G394" s="123">
        <v>32.821561000000003</v>
      </c>
      <c r="H394" s="61">
        <v>-117.17720300000001</v>
      </c>
      <c r="I394" s="44" t="s">
        <v>37</v>
      </c>
      <c r="J394" s="46">
        <f t="shared" si="289"/>
        <v>0.75</v>
      </c>
      <c r="K394" s="100"/>
      <c r="L394" s="44" t="str">
        <f t="shared" si="290"/>
        <v/>
      </c>
      <c r="M394" s="46">
        <f t="shared" si="291"/>
        <v>0.75</v>
      </c>
      <c r="N394" s="46"/>
      <c r="O394" s="41">
        <f t="shared" si="267"/>
        <v>0</v>
      </c>
      <c r="P394" s="42">
        <v>49000</v>
      </c>
      <c r="Q394" s="44" t="s">
        <v>37</v>
      </c>
      <c r="R394" s="28" t="s">
        <v>57</v>
      </c>
      <c r="S394" s="48">
        <f t="shared" si="254"/>
        <v>245000</v>
      </c>
      <c r="T394" s="48">
        <f t="shared" si="287"/>
        <v>0</v>
      </c>
      <c r="W394" s="28">
        <v>274</v>
      </c>
      <c r="X394" s="105">
        <v>1.17</v>
      </c>
      <c r="Y394" s="105">
        <v>7.78</v>
      </c>
      <c r="Z394" s="73" t="s">
        <v>979</v>
      </c>
      <c r="AA394" s="28">
        <v>0</v>
      </c>
    </row>
    <row r="395" spans="1:27" x14ac:dyDescent="0.25">
      <c r="A395" s="4"/>
      <c r="B395" s="98" t="s">
        <v>963</v>
      </c>
      <c r="C395" s="75" t="s">
        <v>962</v>
      </c>
      <c r="D395" s="28" t="s">
        <v>770</v>
      </c>
      <c r="E395" s="28">
        <f t="shared" si="288"/>
        <v>92111</v>
      </c>
      <c r="F395" s="143" t="str">
        <f>INDEX(PV_Summary!$B$18:$B$118,MATCH($E395,PV_Summary!$A$18:$A$118,0))</f>
        <v>S</v>
      </c>
      <c r="G395" s="123">
        <v>32.821834000000003</v>
      </c>
      <c r="H395" s="61">
        <v>-117.18154699999999</v>
      </c>
      <c r="I395" s="44" t="s">
        <v>3</v>
      </c>
      <c r="J395" s="46">
        <f t="shared" si="289"/>
        <v>0.75</v>
      </c>
      <c r="K395" s="100"/>
      <c r="L395" s="44" t="str">
        <f t="shared" si="290"/>
        <v/>
      </c>
      <c r="M395" s="46">
        <f t="shared" si="291"/>
        <v>0.75</v>
      </c>
      <c r="N395" s="46"/>
      <c r="O395" s="41">
        <f t="shared" si="267"/>
        <v>0</v>
      </c>
      <c r="P395" s="42">
        <v>188000</v>
      </c>
      <c r="Q395" s="44" t="s">
        <v>3</v>
      </c>
      <c r="R395" s="28" t="s">
        <v>55</v>
      </c>
      <c r="S395" s="48">
        <f t="shared" si="254"/>
        <v>1316000</v>
      </c>
      <c r="T395" s="48">
        <f t="shared" si="287"/>
        <v>0</v>
      </c>
      <c r="W395" s="28">
        <v>274</v>
      </c>
      <c r="X395" s="105">
        <v>1.17</v>
      </c>
      <c r="Y395" s="105">
        <v>7.78</v>
      </c>
      <c r="Z395" s="73" t="s">
        <v>979</v>
      </c>
      <c r="AA395" s="28">
        <v>150</v>
      </c>
    </row>
    <row r="396" spans="1:27" x14ac:dyDescent="0.25">
      <c r="A396" s="4"/>
      <c r="B396" s="98" t="s">
        <v>964</v>
      </c>
      <c r="C396" s="75" t="s">
        <v>962</v>
      </c>
      <c r="D396" s="28" t="s">
        <v>770</v>
      </c>
      <c r="E396" s="28">
        <f t="shared" si="288"/>
        <v>92111</v>
      </c>
      <c r="F396" s="143" t="str">
        <f>INDEX(PV_Summary!$B$18:$B$118,MATCH($E396,PV_Summary!$A$18:$A$118,0))</f>
        <v>S</v>
      </c>
      <c r="G396" s="123">
        <v>32.821188999999997</v>
      </c>
      <c r="H396" s="61">
        <v>-117.179421</v>
      </c>
      <c r="I396" s="44" t="s">
        <v>3</v>
      </c>
      <c r="J396" s="46">
        <f t="shared" si="289"/>
        <v>0.75</v>
      </c>
      <c r="K396" s="100"/>
      <c r="L396" s="44" t="str">
        <f t="shared" si="290"/>
        <v/>
      </c>
      <c r="M396" s="46">
        <f t="shared" si="291"/>
        <v>0.75</v>
      </c>
      <c r="N396" s="46"/>
      <c r="O396" s="41">
        <f t="shared" si="267"/>
        <v>0</v>
      </c>
      <c r="P396" s="42">
        <v>197000</v>
      </c>
      <c r="Q396" s="44" t="s">
        <v>3</v>
      </c>
      <c r="R396" s="28" t="s">
        <v>55</v>
      </c>
      <c r="S396" s="48">
        <f t="shared" si="254"/>
        <v>1379000</v>
      </c>
      <c r="T396" s="48">
        <f t="shared" si="287"/>
        <v>0</v>
      </c>
      <c r="W396" s="28">
        <v>274</v>
      </c>
      <c r="X396" s="105">
        <v>1.17</v>
      </c>
      <c r="Y396" s="105">
        <v>7.78</v>
      </c>
      <c r="Z396" s="73" t="s">
        <v>979</v>
      </c>
      <c r="AA396" s="28">
        <v>0</v>
      </c>
    </row>
    <row r="397" spans="1:27" x14ac:dyDescent="0.25">
      <c r="A397" s="4"/>
      <c r="B397" s="98" t="s">
        <v>981</v>
      </c>
      <c r="C397" s="75" t="s">
        <v>962</v>
      </c>
      <c r="D397" s="28" t="s">
        <v>770</v>
      </c>
      <c r="E397" s="28">
        <f t="shared" si="288"/>
        <v>92111</v>
      </c>
      <c r="F397" s="143" t="str">
        <f>INDEX(PV_Summary!$B$18:$B$118,MATCH($E397,PV_Summary!$A$18:$A$118,0))</f>
        <v>S</v>
      </c>
      <c r="G397" s="123">
        <v>32.820869000000002</v>
      </c>
      <c r="H397" s="61">
        <v>-117.177769</v>
      </c>
      <c r="I397" s="44" t="s">
        <v>3</v>
      </c>
      <c r="J397" s="46">
        <f t="shared" si="289"/>
        <v>0.75</v>
      </c>
      <c r="K397" s="100"/>
      <c r="L397" s="44" t="str">
        <f t="shared" si="290"/>
        <v/>
      </c>
      <c r="M397" s="46">
        <f t="shared" si="291"/>
        <v>0.75</v>
      </c>
      <c r="N397" s="46"/>
      <c r="O397" s="41">
        <f t="shared" si="267"/>
        <v>0</v>
      </c>
      <c r="P397" s="42">
        <v>124000</v>
      </c>
      <c r="Q397" s="44" t="s">
        <v>3</v>
      </c>
      <c r="R397" s="28" t="s">
        <v>55</v>
      </c>
      <c r="S397" s="48">
        <f t="shared" si="254"/>
        <v>868000</v>
      </c>
      <c r="T397" s="48">
        <f t="shared" si="287"/>
        <v>0</v>
      </c>
      <c r="W397" s="28">
        <v>274</v>
      </c>
      <c r="X397" s="105">
        <v>1.17</v>
      </c>
      <c r="Y397" s="105">
        <v>7.78</v>
      </c>
      <c r="Z397" s="73" t="s">
        <v>979</v>
      </c>
      <c r="AA397" s="28">
        <v>100</v>
      </c>
    </row>
    <row r="398" spans="1:27" x14ac:dyDescent="0.25">
      <c r="A398" s="4"/>
      <c r="B398" s="62" t="s">
        <v>965</v>
      </c>
      <c r="C398" s="75" t="s">
        <v>967</v>
      </c>
      <c r="D398" s="28" t="s">
        <v>770</v>
      </c>
      <c r="E398" s="28">
        <f t="shared" si="288"/>
        <v>92111</v>
      </c>
      <c r="F398" s="143" t="str">
        <f>INDEX(PV_Summary!$B$18:$B$118,MATCH($E398,PV_Summary!$A$18:$A$118,0))</f>
        <v>S</v>
      </c>
      <c r="G398" s="123">
        <v>32.818815000000001</v>
      </c>
      <c r="H398" s="61">
        <v>-117.17860899999999</v>
      </c>
      <c r="I398" s="44" t="s">
        <v>62</v>
      </c>
      <c r="J398" s="46">
        <f t="shared" ref="J398:J404" ca="1" si="292">IF(O398&gt;1,Sym_Scl_Aggr_Parent,IF(O398&lt;1,Sym_Scl_Aggr_Child,Sym_Scl_Normal))</f>
        <v>1.5</v>
      </c>
      <c r="K398" s="100"/>
      <c r="L398" s="44" t="str">
        <f t="shared" ref="L398:L404" ca="1" si="293">IF(O398&gt;1,"Total","")</f>
        <v>Total</v>
      </c>
      <c r="M398" s="46">
        <f t="shared" ref="M398:M404" ca="1" si="294">IF(O398&gt;1,Label_Scl_Aggr_Parent,IF(O398&lt;1,Label_Scl_Aggr_Child,Label_Scl_Normal))</f>
        <v>1.25</v>
      </c>
      <c r="N398" s="46"/>
      <c r="O398" s="41">
        <f t="shared" ca="1" si="267"/>
        <v>7</v>
      </c>
      <c r="Q398" s="44"/>
      <c r="S398" s="48">
        <f t="shared" si="254"/>
        <v>0</v>
      </c>
      <c r="T398" s="48">
        <f t="shared" ca="1" si="287"/>
        <v>2395000</v>
      </c>
      <c r="W398" s="28"/>
      <c r="X398" s="105"/>
      <c r="Y398" s="105"/>
      <c r="Z398" s="73"/>
      <c r="AA398" s="28"/>
    </row>
    <row r="399" spans="1:27" x14ac:dyDescent="0.25">
      <c r="A399" s="4"/>
      <c r="B399" s="98" t="s">
        <v>978</v>
      </c>
      <c r="C399" s="75" t="s">
        <v>967</v>
      </c>
      <c r="D399" s="28" t="s">
        <v>770</v>
      </c>
      <c r="E399" s="28">
        <f t="shared" ref="E399:E409" si="295">RIGHT(TRIM(D399),5)*1</f>
        <v>92111</v>
      </c>
      <c r="F399" s="143" t="str">
        <f>INDEX(PV_Summary!$B$18:$B$118,MATCH($E399,PV_Summary!$A$18:$A$118,0))</f>
        <v>S</v>
      </c>
      <c r="G399" s="123">
        <v>32.818147000000003</v>
      </c>
      <c r="H399" s="61">
        <v>-117.17960600000001</v>
      </c>
      <c r="I399" s="44" t="s">
        <v>37</v>
      </c>
      <c r="J399" s="46">
        <f t="shared" si="292"/>
        <v>0.75</v>
      </c>
      <c r="K399" s="100"/>
      <c r="L399" s="44" t="str">
        <f t="shared" si="293"/>
        <v/>
      </c>
      <c r="M399" s="46">
        <f t="shared" si="294"/>
        <v>0.75</v>
      </c>
      <c r="N399" s="46"/>
      <c r="O399" s="41">
        <f t="shared" si="267"/>
        <v>0</v>
      </c>
      <c r="P399" s="42">
        <v>104000</v>
      </c>
      <c r="Q399" s="44" t="s">
        <v>37</v>
      </c>
      <c r="R399" s="28" t="s">
        <v>56</v>
      </c>
      <c r="S399" s="48">
        <f t="shared" si="254"/>
        <v>624000</v>
      </c>
      <c r="T399" s="48">
        <f t="shared" si="287"/>
        <v>0</v>
      </c>
      <c r="W399" s="28">
        <v>277</v>
      </c>
      <c r="X399" s="105">
        <v>1.27</v>
      </c>
      <c r="Y399" s="105">
        <v>8.4700000000000006</v>
      </c>
      <c r="Z399" s="73" t="s">
        <v>979</v>
      </c>
      <c r="AA399" s="28">
        <v>0</v>
      </c>
    </row>
    <row r="400" spans="1:27" x14ac:dyDescent="0.25">
      <c r="A400" s="4"/>
      <c r="B400" s="98" t="s">
        <v>968</v>
      </c>
      <c r="C400" s="75" t="s">
        <v>967</v>
      </c>
      <c r="D400" s="28" t="s">
        <v>770</v>
      </c>
      <c r="E400" s="28">
        <f t="shared" si="295"/>
        <v>92111</v>
      </c>
      <c r="F400" s="143" t="str">
        <f>INDEX(PV_Summary!$B$18:$B$118,MATCH($E400,PV_Summary!$A$18:$A$118,0))</f>
        <v>S</v>
      </c>
      <c r="G400" s="123">
        <v>32.819209000000001</v>
      </c>
      <c r="H400" s="61">
        <v>-117.18064099999999</v>
      </c>
      <c r="I400" s="44" t="s">
        <v>3</v>
      </c>
      <c r="J400" s="46">
        <f t="shared" si="292"/>
        <v>0.75</v>
      </c>
      <c r="K400" s="100"/>
      <c r="L400" s="44" t="str">
        <f t="shared" si="293"/>
        <v/>
      </c>
      <c r="M400" s="46">
        <f t="shared" si="294"/>
        <v>0.75</v>
      </c>
      <c r="N400" s="46"/>
      <c r="O400" s="41">
        <f t="shared" si="267"/>
        <v>0</v>
      </c>
      <c r="P400" s="42">
        <v>35000</v>
      </c>
      <c r="Q400" s="44" t="s">
        <v>3</v>
      </c>
      <c r="R400" s="28" t="s">
        <v>55</v>
      </c>
      <c r="S400" s="48">
        <f t="shared" si="254"/>
        <v>245000</v>
      </c>
      <c r="T400" s="48">
        <f t="shared" si="287"/>
        <v>0</v>
      </c>
      <c r="W400" s="28">
        <v>274</v>
      </c>
      <c r="X400" s="105">
        <v>1.17</v>
      </c>
      <c r="Y400" s="105">
        <v>7.78</v>
      </c>
      <c r="Z400" s="73" t="s">
        <v>979</v>
      </c>
      <c r="AA400" s="28">
        <v>0</v>
      </c>
    </row>
    <row r="401" spans="1:27" x14ac:dyDescent="0.25">
      <c r="A401" s="4"/>
      <c r="B401" s="98" t="s">
        <v>969</v>
      </c>
      <c r="C401" s="75" t="s">
        <v>967</v>
      </c>
      <c r="D401" s="28" t="s">
        <v>770</v>
      </c>
      <c r="E401" s="28">
        <f t="shared" si="295"/>
        <v>92111</v>
      </c>
      <c r="F401" s="143" t="str">
        <f>INDEX(PV_Summary!$B$18:$B$118,MATCH($E401,PV_Summary!$A$18:$A$118,0))</f>
        <v>S</v>
      </c>
      <c r="G401" s="123">
        <v>32.819643999999997</v>
      </c>
      <c r="H401" s="61">
        <v>-117.17932</v>
      </c>
      <c r="I401" s="44" t="s">
        <v>3</v>
      </c>
      <c r="J401" s="46">
        <f t="shared" si="292"/>
        <v>0.75</v>
      </c>
      <c r="K401" s="100"/>
      <c r="L401" s="44" t="str">
        <f t="shared" si="293"/>
        <v/>
      </c>
      <c r="M401" s="46">
        <f t="shared" si="294"/>
        <v>0.75</v>
      </c>
      <c r="N401" s="46"/>
      <c r="O401" s="41">
        <f t="shared" si="267"/>
        <v>0</v>
      </c>
      <c r="P401" s="42">
        <v>28000</v>
      </c>
      <c r="Q401" s="44" t="s">
        <v>3</v>
      </c>
      <c r="R401" s="28" t="s">
        <v>55</v>
      </c>
      <c r="S401" s="48">
        <f t="shared" si="254"/>
        <v>196000</v>
      </c>
      <c r="T401" s="48">
        <f t="shared" si="287"/>
        <v>0</v>
      </c>
      <c r="W401" s="28">
        <v>274</v>
      </c>
      <c r="X401" s="105">
        <v>1.17</v>
      </c>
      <c r="Y401" s="105">
        <v>7.78</v>
      </c>
      <c r="Z401" s="73" t="s">
        <v>979</v>
      </c>
      <c r="AA401" s="28">
        <v>0</v>
      </c>
    </row>
    <row r="402" spans="1:27" x14ac:dyDescent="0.25">
      <c r="A402" s="4"/>
      <c r="B402" s="98" t="s">
        <v>970</v>
      </c>
      <c r="C402" s="75" t="s">
        <v>967</v>
      </c>
      <c r="D402" s="28" t="s">
        <v>770</v>
      </c>
      <c r="E402" s="28">
        <f t="shared" si="295"/>
        <v>92111</v>
      </c>
      <c r="F402" s="143" t="str">
        <f>INDEX(PV_Summary!$B$18:$B$118,MATCH($E402,PV_Summary!$A$18:$A$118,0))</f>
        <v>S</v>
      </c>
      <c r="G402" s="123">
        <v>32.818914999999997</v>
      </c>
      <c r="H402" s="61">
        <v>-117.17983599999999</v>
      </c>
      <c r="I402" s="44" t="s">
        <v>3</v>
      </c>
      <c r="J402" s="46">
        <f t="shared" si="292"/>
        <v>0.75</v>
      </c>
      <c r="K402" s="100"/>
      <c r="L402" s="44" t="str">
        <f t="shared" si="293"/>
        <v/>
      </c>
      <c r="M402" s="46">
        <f t="shared" si="294"/>
        <v>0.75</v>
      </c>
      <c r="N402" s="46"/>
      <c r="O402" s="41">
        <f t="shared" si="267"/>
        <v>0</v>
      </c>
      <c r="P402" s="42">
        <v>158000</v>
      </c>
      <c r="Q402" s="44" t="s">
        <v>3</v>
      </c>
      <c r="R402" s="28" t="s">
        <v>55</v>
      </c>
      <c r="S402" s="48">
        <f t="shared" si="254"/>
        <v>1106000</v>
      </c>
      <c r="T402" s="48">
        <f t="shared" si="287"/>
        <v>0</v>
      </c>
      <c r="W402" s="28">
        <v>274</v>
      </c>
      <c r="X402" s="105">
        <v>1.17</v>
      </c>
      <c r="Y402" s="105">
        <v>7.78</v>
      </c>
      <c r="Z402" s="73" t="s">
        <v>979</v>
      </c>
      <c r="AA402" s="28">
        <v>0</v>
      </c>
    </row>
    <row r="403" spans="1:27" x14ac:dyDescent="0.25">
      <c r="A403" s="4"/>
      <c r="B403" s="98" t="s">
        <v>518</v>
      </c>
      <c r="C403" s="75" t="s">
        <v>967</v>
      </c>
      <c r="D403" s="28" t="s">
        <v>770</v>
      </c>
      <c r="E403" s="28">
        <f t="shared" si="295"/>
        <v>92111</v>
      </c>
      <c r="F403" s="143" t="str">
        <f>INDEX(PV_Summary!$B$18:$B$118,MATCH($E403,PV_Summary!$A$18:$A$118,0))</f>
        <v>S</v>
      </c>
      <c r="G403" s="123">
        <v>32.819617000000001</v>
      </c>
      <c r="H403" s="61">
        <v>-117.178686</v>
      </c>
      <c r="I403" s="44" t="s">
        <v>37</v>
      </c>
      <c r="J403" s="46">
        <f t="shared" si="292"/>
        <v>0.75</v>
      </c>
      <c r="K403" s="100"/>
      <c r="L403" s="44" t="str">
        <f t="shared" si="293"/>
        <v/>
      </c>
      <c r="M403" s="46">
        <f t="shared" si="294"/>
        <v>0.75</v>
      </c>
      <c r="N403" s="46"/>
      <c r="O403" s="41">
        <f t="shared" si="267"/>
        <v>0</v>
      </c>
      <c r="P403" s="42">
        <v>16000</v>
      </c>
      <c r="Q403" s="44" t="s">
        <v>37</v>
      </c>
      <c r="R403" s="28" t="s">
        <v>55</v>
      </c>
      <c r="S403" s="48">
        <f t="shared" si="254"/>
        <v>112000</v>
      </c>
      <c r="T403" s="48">
        <f t="shared" si="287"/>
        <v>0</v>
      </c>
      <c r="W403" s="28">
        <v>274</v>
      </c>
      <c r="X403" s="105">
        <v>1.17</v>
      </c>
      <c r="Y403" s="105">
        <v>7.78</v>
      </c>
      <c r="Z403" s="73" t="s">
        <v>979</v>
      </c>
      <c r="AA403" s="28">
        <v>0</v>
      </c>
    </row>
    <row r="404" spans="1:27" x14ac:dyDescent="0.25">
      <c r="A404" s="4"/>
      <c r="B404" s="98" t="s">
        <v>971</v>
      </c>
      <c r="C404" s="75" t="s">
        <v>967</v>
      </c>
      <c r="D404" s="28" t="s">
        <v>770</v>
      </c>
      <c r="E404" s="28">
        <f t="shared" si="295"/>
        <v>92111</v>
      </c>
      <c r="F404" s="143" t="str">
        <f>INDEX(PV_Summary!$B$18:$B$118,MATCH($E404,PV_Summary!$A$18:$A$118,0))</f>
        <v>S</v>
      </c>
      <c r="G404" s="123">
        <v>32.819208000000003</v>
      </c>
      <c r="H404" s="61">
        <v>-117.177566</v>
      </c>
      <c r="I404" s="44" t="s">
        <v>3</v>
      </c>
      <c r="J404" s="46">
        <f t="shared" si="292"/>
        <v>0.75</v>
      </c>
      <c r="K404" s="100"/>
      <c r="L404" s="44" t="str">
        <f t="shared" si="293"/>
        <v/>
      </c>
      <c r="M404" s="46">
        <f t="shared" si="294"/>
        <v>0.75</v>
      </c>
      <c r="N404" s="46"/>
      <c r="O404" s="41">
        <f t="shared" si="267"/>
        <v>0</v>
      </c>
      <c r="P404" s="42">
        <v>16000</v>
      </c>
      <c r="Q404" s="44" t="s">
        <v>3</v>
      </c>
      <c r="R404" s="28" t="s">
        <v>55</v>
      </c>
      <c r="S404" s="48">
        <f t="shared" si="254"/>
        <v>112000</v>
      </c>
      <c r="T404" s="48">
        <f t="shared" si="287"/>
        <v>0</v>
      </c>
      <c r="W404" s="28">
        <v>277</v>
      </c>
      <c r="X404" s="105">
        <v>1.27</v>
      </c>
      <c r="Y404" s="105">
        <v>8.4700000000000006</v>
      </c>
      <c r="Z404" s="73" t="s">
        <v>979</v>
      </c>
      <c r="AA404" s="28">
        <v>0</v>
      </c>
    </row>
    <row r="405" spans="1:27" x14ac:dyDescent="0.25">
      <c r="A405" s="4"/>
      <c r="B405" s="62" t="s">
        <v>972</v>
      </c>
      <c r="C405" s="75" t="s">
        <v>973</v>
      </c>
      <c r="D405" s="28" t="s">
        <v>770</v>
      </c>
      <c r="E405" s="28">
        <f t="shared" si="295"/>
        <v>92111</v>
      </c>
      <c r="F405" s="143" t="str">
        <f>INDEX(PV_Summary!$B$18:$B$118,MATCH($E405,PV_Summary!$A$18:$A$118,0))</f>
        <v>S</v>
      </c>
      <c r="G405" s="123">
        <v>32.804749999999999</v>
      </c>
      <c r="H405" s="61">
        <v>-117.16822000000001</v>
      </c>
      <c r="I405" s="44" t="s">
        <v>63</v>
      </c>
      <c r="J405" s="46">
        <f t="shared" ref="J405:J409" ca="1" si="296">IF(O405&gt;1,Sym_Scl_Aggr_Parent,IF(O405&lt;1,Sym_Scl_Aggr_Child,Sym_Scl_Normal))</f>
        <v>1.5</v>
      </c>
      <c r="K405" s="100"/>
      <c r="L405" s="44" t="str">
        <f t="shared" ref="L405:L409" ca="1" si="297">IF(O405&gt;1,"Total","")</f>
        <v>Total</v>
      </c>
      <c r="M405" s="46">
        <f t="shared" ref="M405:M409" ca="1" si="298">IF(O405&gt;1,Label_Scl_Aggr_Parent,IF(O405&lt;1,Label_Scl_Aggr_Child,Label_Scl_Normal))</f>
        <v>1.25</v>
      </c>
      <c r="N405" s="46"/>
      <c r="O405" s="41">
        <f t="shared" ca="1" si="267"/>
        <v>10</v>
      </c>
      <c r="Q405" s="44"/>
      <c r="S405" s="48">
        <f t="shared" si="254"/>
        <v>0</v>
      </c>
      <c r="T405" s="48">
        <f t="shared" ca="1" si="287"/>
        <v>2891000</v>
      </c>
      <c r="W405" s="28">
        <v>144</v>
      </c>
      <c r="X405" s="105">
        <v>1.26</v>
      </c>
      <c r="Y405" s="105">
        <v>8.42</v>
      </c>
      <c r="Z405" s="73" t="s">
        <v>955</v>
      </c>
      <c r="AA405" s="28"/>
    </row>
    <row r="406" spans="1:27" x14ac:dyDescent="0.25">
      <c r="A406" s="4"/>
      <c r="B406" s="98" t="s">
        <v>974</v>
      </c>
      <c r="C406" s="75" t="s">
        <v>973</v>
      </c>
      <c r="D406" s="28" t="s">
        <v>770</v>
      </c>
      <c r="E406" s="28">
        <f t="shared" si="295"/>
        <v>92111</v>
      </c>
      <c r="F406" s="143" t="str">
        <f>INDEX(PV_Summary!$B$18:$B$118,MATCH($E406,PV_Summary!$A$18:$A$118,0))</f>
        <v>S</v>
      </c>
      <c r="G406" s="123">
        <v>32.806272</v>
      </c>
      <c r="H406" s="61">
        <v>-117.17052099999999</v>
      </c>
      <c r="I406" s="44" t="s">
        <v>210</v>
      </c>
      <c r="J406" s="46">
        <f t="shared" si="296"/>
        <v>0.75</v>
      </c>
      <c r="K406" s="100" t="s">
        <v>157</v>
      </c>
      <c r="L406" s="44" t="str">
        <f t="shared" si="297"/>
        <v/>
      </c>
      <c r="M406" s="46">
        <f t="shared" si="298"/>
        <v>0.75</v>
      </c>
      <c r="N406" s="46"/>
      <c r="O406" s="41">
        <f t="shared" si="267"/>
        <v>0</v>
      </c>
      <c r="Q406" s="44" t="s">
        <v>172</v>
      </c>
      <c r="S406" s="48">
        <f t="shared" si="254"/>
        <v>0</v>
      </c>
      <c r="T406" s="48">
        <f t="shared" si="287"/>
        <v>0</v>
      </c>
      <c r="W406" s="28">
        <v>144</v>
      </c>
      <c r="X406" s="105">
        <v>1.26</v>
      </c>
      <c r="Y406" s="105">
        <v>8.42</v>
      </c>
      <c r="Z406" s="73" t="s">
        <v>955</v>
      </c>
      <c r="AA406" s="28">
        <v>0</v>
      </c>
    </row>
    <row r="407" spans="1:27" x14ac:dyDescent="0.25">
      <c r="A407" s="4"/>
      <c r="B407" s="98" t="s">
        <v>975</v>
      </c>
      <c r="C407" s="75" t="s">
        <v>973</v>
      </c>
      <c r="D407" s="28" t="s">
        <v>770</v>
      </c>
      <c r="E407" s="28">
        <f t="shared" si="295"/>
        <v>92111</v>
      </c>
      <c r="F407" s="143" t="str">
        <f>INDEX(PV_Summary!$B$18:$B$118,MATCH($E407,PV_Summary!$A$18:$A$118,0))</f>
        <v>S</v>
      </c>
      <c r="G407" s="123">
        <v>32.806049000000002</v>
      </c>
      <c r="H407" s="61">
        <v>-117.16973900000001</v>
      </c>
      <c r="I407" s="44" t="s">
        <v>3</v>
      </c>
      <c r="J407" s="46">
        <f t="shared" si="296"/>
        <v>0.75</v>
      </c>
      <c r="K407" s="100"/>
      <c r="L407" s="44" t="str">
        <f t="shared" si="297"/>
        <v/>
      </c>
      <c r="M407" s="46">
        <f t="shared" si="298"/>
        <v>0.75</v>
      </c>
      <c r="N407" s="46"/>
      <c r="O407" s="41">
        <f t="shared" si="267"/>
        <v>0</v>
      </c>
      <c r="P407" s="42">
        <v>178000</v>
      </c>
      <c r="Q407" s="44" t="s">
        <v>3</v>
      </c>
      <c r="R407" s="28" t="s">
        <v>55</v>
      </c>
      <c r="S407" s="48">
        <f t="shared" si="254"/>
        <v>1246000</v>
      </c>
      <c r="T407" s="48">
        <f t="shared" si="287"/>
        <v>0</v>
      </c>
      <c r="W407" s="28">
        <v>144</v>
      </c>
      <c r="X407" s="105">
        <v>1.26</v>
      </c>
      <c r="Y407" s="105">
        <v>8.42</v>
      </c>
      <c r="Z407" s="73" t="s">
        <v>955</v>
      </c>
      <c r="AA407" s="28">
        <v>400</v>
      </c>
    </row>
    <row r="408" spans="1:27" x14ac:dyDescent="0.25">
      <c r="A408" s="4"/>
      <c r="B408" s="98" t="s">
        <v>976</v>
      </c>
      <c r="C408" s="75" t="s">
        <v>973</v>
      </c>
      <c r="D408" s="28" t="s">
        <v>770</v>
      </c>
      <c r="E408" s="28">
        <f t="shared" si="295"/>
        <v>92111</v>
      </c>
      <c r="F408" s="143" t="str">
        <f>INDEX(PV_Summary!$B$18:$B$118,MATCH($E408,PV_Summary!$A$18:$A$118,0))</f>
        <v>S</v>
      </c>
      <c r="G408" s="123">
        <v>32.803398999999999</v>
      </c>
      <c r="H408" s="61">
        <v>-117.172128</v>
      </c>
      <c r="I408" s="44" t="s">
        <v>3</v>
      </c>
      <c r="J408" s="46">
        <f t="shared" si="296"/>
        <v>0.75</v>
      </c>
      <c r="K408" s="100"/>
      <c r="L408" s="44" t="str">
        <f t="shared" si="297"/>
        <v/>
      </c>
      <c r="M408" s="46">
        <f t="shared" si="298"/>
        <v>0.75</v>
      </c>
      <c r="N408" s="46"/>
      <c r="O408" s="41">
        <f t="shared" si="267"/>
        <v>0</v>
      </c>
      <c r="P408" s="42">
        <v>40000</v>
      </c>
      <c r="Q408" s="44" t="s">
        <v>3</v>
      </c>
      <c r="R408" s="28" t="s">
        <v>55</v>
      </c>
      <c r="S408" s="48">
        <f t="shared" si="254"/>
        <v>280000</v>
      </c>
      <c r="T408" s="48">
        <f t="shared" si="287"/>
        <v>0</v>
      </c>
      <c r="W408" s="28">
        <v>144</v>
      </c>
      <c r="X408" s="105">
        <v>1.26</v>
      </c>
      <c r="Y408" s="105">
        <v>8.42</v>
      </c>
      <c r="Z408" s="73" t="s">
        <v>955</v>
      </c>
      <c r="AA408" s="28">
        <v>500</v>
      </c>
    </row>
    <row r="409" spans="1:27" x14ac:dyDescent="0.25">
      <c r="A409" s="4"/>
      <c r="B409" s="98" t="s">
        <v>977</v>
      </c>
      <c r="C409" s="75" t="s">
        <v>973</v>
      </c>
      <c r="D409" s="28" t="s">
        <v>770</v>
      </c>
      <c r="E409" s="28">
        <f t="shared" si="295"/>
        <v>92111</v>
      </c>
      <c r="F409" s="143" t="str">
        <f>INDEX(PV_Summary!$B$18:$B$118,MATCH($E409,PV_Summary!$A$18:$A$118,0))</f>
        <v>S</v>
      </c>
      <c r="G409" s="123">
        <v>32.803113000000003</v>
      </c>
      <c r="H409" s="61">
        <v>-117.172527</v>
      </c>
      <c r="I409" s="44" t="s">
        <v>3</v>
      </c>
      <c r="J409" s="46">
        <f t="shared" si="296"/>
        <v>0.75</v>
      </c>
      <c r="K409" s="100"/>
      <c r="L409" s="44" t="str">
        <f t="shared" si="297"/>
        <v/>
      </c>
      <c r="M409" s="46">
        <f t="shared" si="298"/>
        <v>0.75</v>
      </c>
      <c r="N409" s="46"/>
      <c r="O409" s="41">
        <f t="shared" si="267"/>
        <v>0</v>
      </c>
      <c r="P409" s="42">
        <v>24000</v>
      </c>
      <c r="Q409" s="44" t="s">
        <v>3</v>
      </c>
      <c r="R409" s="28" t="s">
        <v>55</v>
      </c>
      <c r="S409" s="48">
        <f t="shared" si="254"/>
        <v>168000</v>
      </c>
      <c r="T409" s="48">
        <f t="shared" si="287"/>
        <v>0</v>
      </c>
      <c r="W409" s="28">
        <v>144</v>
      </c>
      <c r="X409" s="105">
        <v>1.26</v>
      </c>
      <c r="Y409" s="105">
        <v>8.42</v>
      </c>
      <c r="Z409" s="73" t="s">
        <v>955</v>
      </c>
      <c r="AA409" s="28">
        <v>500</v>
      </c>
    </row>
    <row r="410" spans="1:27" x14ac:dyDescent="0.25">
      <c r="A410" s="4"/>
      <c r="B410" s="98" t="s">
        <v>991</v>
      </c>
      <c r="C410" s="75" t="s">
        <v>973</v>
      </c>
      <c r="D410" s="28" t="s">
        <v>770</v>
      </c>
      <c r="E410" s="28">
        <f t="shared" ref="E410:E413" si="299">RIGHT(TRIM(D410),5)*1</f>
        <v>92111</v>
      </c>
      <c r="F410" s="143" t="str">
        <f>INDEX(PV_Summary!$B$18:$B$118,MATCH($E410,PV_Summary!$A$18:$A$118,0))</f>
        <v>S</v>
      </c>
      <c r="G410" s="123">
        <v>32.805360999999998</v>
      </c>
      <c r="H410" s="61">
        <v>-117.164299</v>
      </c>
      <c r="I410" s="44" t="s">
        <v>3</v>
      </c>
      <c r="J410" s="46">
        <f t="shared" ref="J410:J413" si="300">IF(O410&gt;1,Sym_Scl_Aggr_Parent,IF(O410&lt;1,Sym_Scl_Aggr_Child,Sym_Scl_Normal))</f>
        <v>0.75</v>
      </c>
      <c r="K410" s="100"/>
      <c r="L410" s="44" t="str">
        <f t="shared" ref="L410:L413" si="301">IF(O410&gt;1,"Total","")</f>
        <v/>
      </c>
      <c r="M410" s="46">
        <f t="shared" ref="M410:M413" si="302">IF(O410&gt;1,Label_Scl_Aggr_Parent,IF(O410&lt;1,Label_Scl_Aggr_Child,Label_Scl_Normal))</f>
        <v>0.75</v>
      </c>
      <c r="N410" s="46"/>
      <c r="O410" s="41">
        <f t="shared" si="267"/>
        <v>0</v>
      </c>
      <c r="P410" s="42">
        <v>85000</v>
      </c>
      <c r="Q410" s="44" t="s">
        <v>3</v>
      </c>
      <c r="R410" s="28" t="s">
        <v>55</v>
      </c>
      <c r="S410" s="48">
        <f t="shared" si="254"/>
        <v>595000</v>
      </c>
      <c r="T410" s="48">
        <f t="shared" si="287"/>
        <v>0</v>
      </c>
      <c r="W410" s="28">
        <v>144</v>
      </c>
      <c r="X410" s="105">
        <v>1.26</v>
      </c>
      <c r="Y410" s="105">
        <v>8.42</v>
      </c>
      <c r="Z410" s="73" t="s">
        <v>955</v>
      </c>
      <c r="AA410" s="28">
        <v>100</v>
      </c>
    </row>
    <row r="411" spans="1:27" x14ac:dyDescent="0.25">
      <c r="A411" s="4"/>
      <c r="B411" s="98" t="s">
        <v>992</v>
      </c>
      <c r="C411" s="75" t="s">
        <v>973</v>
      </c>
      <c r="D411" s="28" t="s">
        <v>770</v>
      </c>
      <c r="E411" s="28">
        <f t="shared" si="299"/>
        <v>92111</v>
      </c>
      <c r="F411" s="143" t="str">
        <f>INDEX(PV_Summary!$B$18:$B$118,MATCH($E411,PV_Summary!$A$18:$A$118,0))</f>
        <v>S</v>
      </c>
      <c r="G411" s="123">
        <v>32.804648</v>
      </c>
      <c r="H411" s="61">
        <v>-117.162874</v>
      </c>
      <c r="I411" s="44" t="s">
        <v>3</v>
      </c>
      <c r="J411" s="46">
        <f t="shared" si="300"/>
        <v>0.75</v>
      </c>
      <c r="K411" s="100"/>
      <c r="L411" s="44" t="str">
        <f t="shared" si="301"/>
        <v/>
      </c>
      <c r="M411" s="46">
        <f t="shared" si="302"/>
        <v>0.75</v>
      </c>
      <c r="N411" s="46"/>
      <c r="O411" s="41">
        <f t="shared" si="267"/>
        <v>0</v>
      </c>
      <c r="P411" s="42">
        <v>49000</v>
      </c>
      <c r="Q411" s="44" t="s">
        <v>3</v>
      </c>
      <c r="R411" s="28" t="s">
        <v>55</v>
      </c>
      <c r="S411" s="48">
        <f t="shared" si="254"/>
        <v>343000</v>
      </c>
      <c r="T411" s="48">
        <f t="shared" si="287"/>
        <v>0</v>
      </c>
      <c r="W411" s="28">
        <v>144</v>
      </c>
      <c r="X411" s="105">
        <v>1.26</v>
      </c>
      <c r="Y411" s="105">
        <v>8.42</v>
      </c>
      <c r="Z411" s="73" t="s">
        <v>955</v>
      </c>
      <c r="AA411" s="28">
        <v>50</v>
      </c>
    </row>
    <row r="412" spans="1:27" x14ac:dyDescent="0.25">
      <c r="A412" s="4"/>
      <c r="B412" s="98" t="s">
        <v>993</v>
      </c>
      <c r="C412" s="75" t="s">
        <v>973</v>
      </c>
      <c r="D412" s="28" t="s">
        <v>770</v>
      </c>
      <c r="E412" s="28">
        <f t="shared" si="299"/>
        <v>92111</v>
      </c>
      <c r="F412" s="143" t="str">
        <f>INDEX(PV_Summary!$B$18:$B$118,MATCH($E412,PV_Summary!$A$18:$A$118,0))</f>
        <v>S</v>
      </c>
      <c r="G412" s="123">
        <v>32.803874999999998</v>
      </c>
      <c r="H412" s="61">
        <v>-117.16291200000001</v>
      </c>
      <c r="I412" s="44" t="s">
        <v>3</v>
      </c>
      <c r="J412" s="46">
        <f t="shared" si="300"/>
        <v>0.75</v>
      </c>
      <c r="K412" s="100"/>
      <c r="L412" s="44" t="str">
        <f t="shared" si="301"/>
        <v/>
      </c>
      <c r="M412" s="46">
        <f t="shared" si="302"/>
        <v>0.75</v>
      </c>
      <c r="N412" s="46"/>
      <c r="O412" s="41">
        <f t="shared" si="267"/>
        <v>0</v>
      </c>
      <c r="P412" s="42">
        <v>37000</v>
      </c>
      <c r="Q412" s="44" t="s">
        <v>3</v>
      </c>
      <c r="R412" s="28" t="s">
        <v>55</v>
      </c>
      <c r="S412" s="48">
        <f t="shared" si="254"/>
        <v>259000</v>
      </c>
      <c r="T412" s="48">
        <f t="shared" si="287"/>
        <v>0</v>
      </c>
      <c r="W412" s="28">
        <v>144</v>
      </c>
      <c r="X412" s="105">
        <v>1.26</v>
      </c>
      <c r="Y412" s="105">
        <v>8.42</v>
      </c>
      <c r="Z412" s="73" t="s">
        <v>955</v>
      </c>
      <c r="AA412" s="28">
        <v>100</v>
      </c>
    </row>
    <row r="413" spans="1:27" x14ac:dyDescent="0.25">
      <c r="A413" s="4"/>
      <c r="B413" s="98" t="s">
        <v>994</v>
      </c>
      <c r="C413" s="75" t="s">
        <v>973</v>
      </c>
      <c r="D413" s="28" t="s">
        <v>770</v>
      </c>
      <c r="E413" s="28">
        <f t="shared" si="299"/>
        <v>92111</v>
      </c>
      <c r="F413" s="143" t="str">
        <f>INDEX(PV_Summary!$B$18:$B$118,MATCH($E413,PV_Summary!$A$18:$A$118,0))</f>
        <v>S</v>
      </c>
      <c r="G413" s="123">
        <v>32.806145000000001</v>
      </c>
      <c r="H413" s="61">
        <v>-117.163235</v>
      </c>
      <c r="I413" s="44" t="s">
        <v>210</v>
      </c>
      <c r="J413" s="46">
        <f t="shared" si="300"/>
        <v>0.75</v>
      </c>
      <c r="K413" s="100" t="s">
        <v>157</v>
      </c>
      <c r="L413" s="44" t="str">
        <f t="shared" si="301"/>
        <v/>
      </c>
      <c r="M413" s="46">
        <f t="shared" si="302"/>
        <v>0.75</v>
      </c>
      <c r="N413" s="46"/>
      <c r="O413" s="41">
        <f t="shared" si="267"/>
        <v>0</v>
      </c>
      <c r="Q413" s="44" t="s">
        <v>172</v>
      </c>
      <c r="S413" s="48">
        <f t="shared" si="254"/>
        <v>0</v>
      </c>
      <c r="T413" s="48">
        <f t="shared" si="287"/>
        <v>0</v>
      </c>
      <c r="W413" s="28">
        <v>144</v>
      </c>
      <c r="X413" s="105">
        <v>1.26</v>
      </c>
      <c r="Y413" s="105">
        <v>8.42</v>
      </c>
      <c r="Z413" s="73" t="s">
        <v>955</v>
      </c>
      <c r="AA413" s="28">
        <v>0</v>
      </c>
    </row>
    <row r="414" spans="1:27" x14ac:dyDescent="0.25">
      <c r="A414" s="4"/>
      <c r="B414" s="98" t="s">
        <v>995</v>
      </c>
      <c r="C414" s="75" t="s">
        <v>973</v>
      </c>
      <c r="D414" s="28" t="s">
        <v>770</v>
      </c>
      <c r="E414" s="28">
        <f t="shared" ref="E414:E415" si="303">RIGHT(TRIM(D414),5)*1</f>
        <v>92111</v>
      </c>
      <c r="F414" s="143" t="str">
        <f>INDEX(PV_Summary!$B$18:$B$118,MATCH($E414,PV_Summary!$A$18:$A$118,0))</f>
        <v>S</v>
      </c>
      <c r="G414" s="123">
        <v>32.803522999999998</v>
      </c>
      <c r="H414" s="61">
        <v>-117.1652</v>
      </c>
      <c r="I414" s="44" t="s">
        <v>210</v>
      </c>
      <c r="J414" s="46">
        <f t="shared" ref="J414" si="304">IF(O414&gt;1,Sym_Scl_Aggr_Parent,IF(O414&lt;1,Sym_Scl_Aggr_Child,Sym_Scl_Normal))</f>
        <v>0.75</v>
      </c>
      <c r="K414" s="100" t="s">
        <v>157</v>
      </c>
      <c r="L414" s="44" t="str">
        <f t="shared" ref="L414" si="305">IF(O414&gt;1,"Total","")</f>
        <v/>
      </c>
      <c r="M414" s="46">
        <f t="shared" ref="M414" si="306">IF(O414&gt;1,Label_Scl_Aggr_Parent,IF(O414&lt;1,Label_Scl_Aggr_Child,Label_Scl_Normal))</f>
        <v>0.75</v>
      </c>
      <c r="N414" s="46"/>
      <c r="O414" s="41">
        <f t="shared" si="267"/>
        <v>0</v>
      </c>
      <c r="Q414" s="44" t="s">
        <v>172</v>
      </c>
      <c r="S414" s="48">
        <f t="shared" si="254"/>
        <v>0</v>
      </c>
      <c r="T414" s="48">
        <f t="shared" si="287"/>
        <v>0</v>
      </c>
      <c r="W414" s="28">
        <v>144</v>
      </c>
      <c r="X414" s="105">
        <v>1.26</v>
      </c>
      <c r="Y414" s="105">
        <v>8.42</v>
      </c>
      <c r="Z414" s="73" t="s">
        <v>955</v>
      </c>
      <c r="AA414" s="28">
        <v>0</v>
      </c>
    </row>
    <row r="415" spans="1:27" x14ac:dyDescent="0.25">
      <c r="A415" s="4"/>
      <c r="B415" s="62" t="s">
        <v>1384</v>
      </c>
      <c r="C415" s="75" t="s">
        <v>1379</v>
      </c>
      <c r="D415" s="28" t="s">
        <v>770</v>
      </c>
      <c r="E415" s="28">
        <f t="shared" si="303"/>
        <v>92111</v>
      </c>
      <c r="F415" s="143" t="str">
        <f>INDEX(PV_Summary!$B$18:$B$118,MATCH($E415,PV_Summary!$A$18:$A$118,0))</f>
        <v>S</v>
      </c>
      <c r="G415" s="123">
        <v>32.831798999999997</v>
      </c>
      <c r="H415" s="61">
        <v>-117.155901</v>
      </c>
      <c r="I415" s="44" t="s">
        <v>62</v>
      </c>
      <c r="J415" s="46">
        <f t="shared" ref="J415:J419" ca="1" si="307">IF(O415&gt;1,Sym_Scl_Aggr_Parent,IF(O415&lt;1,Sym_Scl_Aggr_Child,Sym_Scl_Normal))</f>
        <v>1.5</v>
      </c>
      <c r="K415" s="100"/>
      <c r="L415" s="44" t="str">
        <f t="shared" ref="L415:L419" ca="1" si="308">IF(O415&gt;1,"Total","")</f>
        <v>Total</v>
      </c>
      <c r="M415" s="46">
        <f t="shared" ref="M415:M419" ca="1" si="309">IF(O415&gt;1,Label_Scl_Aggr_Parent,IF(O415&lt;1,Label_Scl_Aggr_Child,Label_Scl_Normal))</f>
        <v>1.25</v>
      </c>
      <c r="N415" s="46"/>
      <c r="O415" s="41">
        <f t="shared" ca="1" si="267"/>
        <v>5</v>
      </c>
      <c r="Q415" s="44"/>
      <c r="S415" s="48">
        <f t="shared" si="254"/>
        <v>0</v>
      </c>
      <c r="T415" s="48">
        <f t="shared" ca="1" si="287"/>
        <v>2553000</v>
      </c>
      <c r="U415" s="28" t="s">
        <v>1390</v>
      </c>
      <c r="W415" s="28">
        <v>774</v>
      </c>
      <c r="X415" s="105">
        <v>1.77</v>
      </c>
      <c r="Y415" s="105">
        <v>11.79</v>
      </c>
      <c r="Z415" s="73" t="s">
        <v>777</v>
      </c>
      <c r="AA415" s="28"/>
    </row>
    <row r="416" spans="1:27" x14ac:dyDescent="0.25">
      <c r="A416" s="4"/>
      <c r="B416" s="98" t="s">
        <v>1381</v>
      </c>
      <c r="C416" s="75" t="s">
        <v>1379</v>
      </c>
      <c r="D416" s="28" t="s">
        <v>770</v>
      </c>
      <c r="E416" s="28">
        <f t="shared" ref="E416:E420" si="310">RIGHT(TRIM(D416),5)*1</f>
        <v>92111</v>
      </c>
      <c r="F416" s="143" t="str">
        <f>INDEX(PV_Summary!$B$18:$B$118,MATCH($E416,PV_Summary!$A$18:$A$118,0))</f>
        <v>S</v>
      </c>
      <c r="G416" s="123">
        <v>32.832071999999997</v>
      </c>
      <c r="H416" s="61">
        <v>-117.15475499999999</v>
      </c>
      <c r="I416" s="44" t="s">
        <v>3</v>
      </c>
      <c r="J416" s="46">
        <f t="shared" si="307"/>
        <v>0.75</v>
      </c>
      <c r="K416" s="100"/>
      <c r="L416" s="44" t="str">
        <f t="shared" si="308"/>
        <v/>
      </c>
      <c r="M416" s="46">
        <f t="shared" si="309"/>
        <v>0.75</v>
      </c>
      <c r="N416" s="46"/>
      <c r="O416" s="41">
        <f t="shared" ref="O416:O430" si="311">IF($C416=$C415,0,COUNTIFS(Address,$C416))</f>
        <v>0</v>
      </c>
      <c r="P416" s="42">
        <v>194000</v>
      </c>
      <c r="Q416" s="44" t="s">
        <v>3</v>
      </c>
      <c r="R416" s="28" t="s">
        <v>55</v>
      </c>
      <c r="S416" s="48">
        <f t="shared" si="254"/>
        <v>1358000</v>
      </c>
      <c r="T416" s="48">
        <f t="shared" si="287"/>
        <v>0</v>
      </c>
      <c r="W416" s="28">
        <v>774</v>
      </c>
      <c r="X416" s="105">
        <v>1.77</v>
      </c>
      <c r="Y416" s="105">
        <v>11.79</v>
      </c>
      <c r="Z416" s="73" t="s">
        <v>777</v>
      </c>
      <c r="AA416" s="28">
        <v>100</v>
      </c>
    </row>
    <row r="417" spans="1:27" x14ac:dyDescent="0.25">
      <c r="A417" s="4"/>
      <c r="B417" s="98" t="s">
        <v>1380</v>
      </c>
      <c r="C417" s="75" t="s">
        <v>1379</v>
      </c>
      <c r="D417" s="28" t="s">
        <v>770</v>
      </c>
      <c r="E417" s="28">
        <f t="shared" si="310"/>
        <v>92111</v>
      </c>
      <c r="F417" s="143" t="str">
        <f>INDEX(PV_Summary!$B$18:$B$118,MATCH($E417,PV_Summary!$A$18:$A$118,0))</f>
        <v>S</v>
      </c>
      <c r="G417" s="123">
        <v>32.831339999999997</v>
      </c>
      <c r="H417" s="61">
        <v>-117.155406</v>
      </c>
      <c r="I417" s="44" t="s">
        <v>37</v>
      </c>
      <c r="J417" s="46">
        <f t="shared" si="307"/>
        <v>0.75</v>
      </c>
      <c r="K417" s="100"/>
      <c r="L417" s="44" t="str">
        <f t="shared" si="308"/>
        <v/>
      </c>
      <c r="M417" s="46">
        <f t="shared" si="309"/>
        <v>0.75</v>
      </c>
      <c r="N417" s="46"/>
      <c r="O417" s="41">
        <f t="shared" si="311"/>
        <v>0</v>
      </c>
      <c r="P417" s="42">
        <v>93000</v>
      </c>
      <c r="Q417" s="44" t="s">
        <v>37</v>
      </c>
      <c r="R417" s="28" t="s">
        <v>56</v>
      </c>
      <c r="S417" s="48">
        <f t="shared" si="254"/>
        <v>558000</v>
      </c>
      <c r="T417" s="48">
        <f t="shared" si="287"/>
        <v>0</v>
      </c>
      <c r="W417" s="28">
        <v>774</v>
      </c>
      <c r="X417" s="105">
        <v>1.77</v>
      </c>
      <c r="Y417" s="105">
        <v>11.79</v>
      </c>
      <c r="Z417" s="73" t="s">
        <v>777</v>
      </c>
      <c r="AA417" s="28">
        <v>400</v>
      </c>
    </row>
    <row r="418" spans="1:27" x14ac:dyDescent="0.25">
      <c r="A418" s="4"/>
      <c r="B418" s="98" t="s">
        <v>1382</v>
      </c>
      <c r="C418" s="75" t="s">
        <v>1379</v>
      </c>
      <c r="D418" s="28" t="s">
        <v>770</v>
      </c>
      <c r="E418" s="28">
        <f t="shared" si="310"/>
        <v>92111</v>
      </c>
      <c r="F418" s="143" t="str">
        <f>INDEX(PV_Summary!$B$18:$B$118,MATCH($E418,PV_Summary!$A$18:$A$118,0))</f>
        <v>S</v>
      </c>
      <c r="G418" s="123">
        <v>32.831358000000002</v>
      </c>
      <c r="H418" s="61">
        <v>-117.15649999999999</v>
      </c>
      <c r="I418" s="44" t="s">
        <v>37</v>
      </c>
      <c r="J418" s="46">
        <f t="shared" si="307"/>
        <v>0.75</v>
      </c>
      <c r="K418" s="100"/>
      <c r="L418" s="44" t="str">
        <f t="shared" si="308"/>
        <v/>
      </c>
      <c r="M418" s="46">
        <f t="shared" si="309"/>
        <v>0.75</v>
      </c>
      <c r="N418" s="46"/>
      <c r="O418" s="41">
        <f t="shared" si="311"/>
        <v>0</v>
      </c>
      <c r="P418" s="42">
        <v>35000</v>
      </c>
      <c r="Q418" s="44" t="s">
        <v>37</v>
      </c>
      <c r="R418" s="28" t="s">
        <v>56</v>
      </c>
      <c r="S418" s="48">
        <f t="shared" si="254"/>
        <v>210000</v>
      </c>
      <c r="T418" s="48">
        <f t="shared" si="287"/>
        <v>0</v>
      </c>
      <c r="W418" s="28">
        <v>774</v>
      </c>
      <c r="X418" s="105">
        <v>1.77</v>
      </c>
      <c r="Y418" s="105">
        <v>11.79</v>
      </c>
      <c r="Z418" s="73" t="s">
        <v>777</v>
      </c>
      <c r="AA418" s="28">
        <v>400</v>
      </c>
    </row>
    <row r="419" spans="1:27" x14ac:dyDescent="0.25">
      <c r="A419" s="4"/>
      <c r="B419" s="98" t="s">
        <v>1383</v>
      </c>
      <c r="C419" s="75" t="s">
        <v>1379</v>
      </c>
      <c r="D419" s="28" t="s">
        <v>770</v>
      </c>
      <c r="E419" s="28">
        <f t="shared" si="310"/>
        <v>92111</v>
      </c>
      <c r="F419" s="143" t="str">
        <f>INDEX(PV_Summary!$B$18:$B$118,MATCH($E419,PV_Summary!$A$18:$A$118,0))</f>
        <v>S</v>
      </c>
      <c r="G419" s="123">
        <v>32.832104999999999</v>
      </c>
      <c r="H419" s="61">
        <v>-117.15643799999999</v>
      </c>
      <c r="I419" s="44" t="s">
        <v>3</v>
      </c>
      <c r="J419" s="46">
        <f t="shared" si="307"/>
        <v>0.75</v>
      </c>
      <c r="K419" s="100"/>
      <c r="L419" s="44" t="str">
        <f t="shared" si="308"/>
        <v/>
      </c>
      <c r="M419" s="46">
        <f t="shared" si="309"/>
        <v>0.75</v>
      </c>
      <c r="N419" s="46"/>
      <c r="O419" s="41">
        <f t="shared" si="311"/>
        <v>0</v>
      </c>
      <c r="P419" s="42">
        <v>61000</v>
      </c>
      <c r="Q419" s="44" t="s">
        <v>3</v>
      </c>
      <c r="R419" s="28" t="s">
        <v>55</v>
      </c>
      <c r="S419" s="48">
        <f t="shared" si="254"/>
        <v>427000</v>
      </c>
      <c r="T419" s="48">
        <f t="shared" si="287"/>
        <v>0</v>
      </c>
      <c r="W419" s="28">
        <v>774</v>
      </c>
      <c r="X419" s="105">
        <v>1.77</v>
      </c>
      <c r="Y419" s="105">
        <v>11.79</v>
      </c>
      <c r="Z419" s="73" t="s">
        <v>777</v>
      </c>
      <c r="AA419" s="28">
        <v>100</v>
      </c>
    </row>
    <row r="420" spans="1:27" x14ac:dyDescent="0.25">
      <c r="A420" s="4"/>
      <c r="B420" s="62" t="s">
        <v>1476</v>
      </c>
      <c r="C420" s="75" t="s">
        <v>1477</v>
      </c>
      <c r="D420" s="28" t="s">
        <v>770</v>
      </c>
      <c r="E420" s="28">
        <f t="shared" si="310"/>
        <v>92111</v>
      </c>
      <c r="F420" s="143" t="str">
        <f>INDEX(PV_Summary!$B$18:$B$118,MATCH($E420,PV_Summary!$A$18:$A$118,0))</f>
        <v>S</v>
      </c>
      <c r="G420" s="123">
        <v>32.829765999999999</v>
      </c>
      <c r="H420" s="61">
        <v>-117.161151</v>
      </c>
      <c r="I420" s="44" t="s">
        <v>63</v>
      </c>
      <c r="J420" s="46">
        <f t="shared" ref="J420:J423" ca="1" si="312">IF(O420&gt;1,Sym_Scl_Aggr_Parent,IF(O420&lt;1,Sym_Scl_Aggr_Child,Sym_Scl_Normal))</f>
        <v>1.5</v>
      </c>
      <c r="K420" s="100"/>
      <c r="L420" s="44" t="str">
        <f t="shared" ref="L420:L423" ca="1" si="313">IF(O420&gt;1,"Total","")</f>
        <v>Total</v>
      </c>
      <c r="M420" s="46">
        <f t="shared" ref="M420:M423" ca="1" si="314">IF(O420&gt;1,Label_Scl_Aggr_Parent,IF(O420&lt;1,Label_Scl_Aggr_Child,Label_Scl_Normal))</f>
        <v>1.25</v>
      </c>
      <c r="N420" s="46"/>
      <c r="O420" s="41">
        <f t="shared" ca="1" si="311"/>
        <v>4</v>
      </c>
      <c r="Q420" s="44"/>
      <c r="S420" s="48">
        <f t="shared" si="254"/>
        <v>0</v>
      </c>
      <c r="T420" s="48">
        <f t="shared" ca="1" si="287"/>
        <v>1372000</v>
      </c>
      <c r="W420" s="28">
        <v>774</v>
      </c>
      <c r="X420" s="105">
        <v>1.77</v>
      </c>
      <c r="Y420" s="105">
        <v>11.79</v>
      </c>
      <c r="Z420" s="73" t="s">
        <v>777</v>
      </c>
      <c r="AA420" s="28"/>
    </row>
    <row r="421" spans="1:27" x14ac:dyDescent="0.25">
      <c r="A421" s="4"/>
      <c r="B421" s="98" t="s">
        <v>1478</v>
      </c>
      <c r="C421" s="75" t="s">
        <v>1477</v>
      </c>
      <c r="D421" s="28" t="s">
        <v>770</v>
      </c>
      <c r="E421" s="28">
        <f t="shared" ref="E421:E424" si="315">RIGHT(TRIM(D421),5)*1</f>
        <v>92111</v>
      </c>
      <c r="F421" s="143" t="str">
        <f>INDEX(PV_Summary!$B$18:$B$118,MATCH($E421,PV_Summary!$A$18:$A$118,0))</f>
        <v>S</v>
      </c>
      <c r="G421" s="123">
        <v>32.829576000000003</v>
      </c>
      <c r="H421" s="61">
        <v>-117.15940000000001</v>
      </c>
      <c r="I421" s="44" t="s">
        <v>3</v>
      </c>
      <c r="J421" s="46">
        <f t="shared" si="312"/>
        <v>0.75</v>
      </c>
      <c r="K421" s="100"/>
      <c r="L421" s="44" t="str">
        <f t="shared" si="313"/>
        <v/>
      </c>
      <c r="M421" s="46">
        <f t="shared" si="314"/>
        <v>0.75</v>
      </c>
      <c r="N421" s="46"/>
      <c r="O421" s="41">
        <f t="shared" si="311"/>
        <v>0</v>
      </c>
      <c r="P421" s="42">
        <v>81000</v>
      </c>
      <c r="Q421" s="44" t="s">
        <v>3</v>
      </c>
      <c r="R421" s="28" t="s">
        <v>55</v>
      </c>
      <c r="S421" s="48">
        <f t="shared" si="254"/>
        <v>567000</v>
      </c>
      <c r="T421" s="48">
        <f t="shared" si="287"/>
        <v>0</v>
      </c>
      <c r="W421" s="28">
        <v>774</v>
      </c>
      <c r="X421" s="105">
        <v>1.77</v>
      </c>
      <c r="Y421" s="105">
        <v>11.79</v>
      </c>
      <c r="Z421" s="73" t="s">
        <v>777</v>
      </c>
      <c r="AA421" s="28">
        <v>200</v>
      </c>
    </row>
    <row r="422" spans="1:27" x14ac:dyDescent="0.25">
      <c r="A422" s="4"/>
      <c r="B422" s="98" t="s">
        <v>1479</v>
      </c>
      <c r="C422" s="75" t="s">
        <v>1477</v>
      </c>
      <c r="D422" s="28" t="s">
        <v>770</v>
      </c>
      <c r="E422" s="28">
        <f t="shared" si="315"/>
        <v>92111</v>
      </c>
      <c r="F422" s="143" t="str">
        <f>INDEX(PV_Summary!$B$18:$B$118,MATCH($E422,PV_Summary!$A$18:$A$118,0))</f>
        <v>S</v>
      </c>
      <c r="G422" s="123">
        <v>32.829270000000001</v>
      </c>
      <c r="H422" s="61">
        <v>-117.160794</v>
      </c>
      <c r="I422" s="44" t="s">
        <v>3</v>
      </c>
      <c r="J422" s="46">
        <f t="shared" si="312"/>
        <v>0.75</v>
      </c>
      <c r="K422" s="100"/>
      <c r="L422" s="44" t="str">
        <f t="shared" si="313"/>
        <v/>
      </c>
      <c r="M422" s="46">
        <f t="shared" si="314"/>
        <v>0.75</v>
      </c>
      <c r="N422" s="46"/>
      <c r="O422" s="41">
        <f t="shared" si="311"/>
        <v>0</v>
      </c>
      <c r="P422" s="42">
        <v>45000</v>
      </c>
      <c r="Q422" s="44" t="s">
        <v>3</v>
      </c>
      <c r="R422" s="28" t="s">
        <v>55</v>
      </c>
      <c r="S422" s="48">
        <f t="shared" si="254"/>
        <v>315000</v>
      </c>
      <c r="T422" s="48">
        <f t="shared" si="287"/>
        <v>0</v>
      </c>
      <c r="W422" s="28">
        <v>774</v>
      </c>
      <c r="X422" s="105">
        <v>1.77</v>
      </c>
      <c r="Y422" s="105">
        <v>11.79</v>
      </c>
      <c r="Z422" s="73" t="s">
        <v>777</v>
      </c>
      <c r="AA422" s="28">
        <v>200</v>
      </c>
    </row>
    <row r="423" spans="1:27" x14ac:dyDescent="0.25">
      <c r="A423" s="4"/>
      <c r="B423" s="98" t="s">
        <v>1480</v>
      </c>
      <c r="C423" s="75" t="s">
        <v>1477</v>
      </c>
      <c r="D423" s="28" t="s">
        <v>770</v>
      </c>
      <c r="E423" s="28">
        <f t="shared" si="315"/>
        <v>92111</v>
      </c>
      <c r="F423" s="143" t="str">
        <f>INDEX(PV_Summary!$B$18:$B$118,MATCH($E423,PV_Summary!$A$18:$A$118,0))</f>
        <v>S</v>
      </c>
      <c r="G423" s="123">
        <v>32.830329999999996</v>
      </c>
      <c r="H423" s="61">
        <v>-117.160848</v>
      </c>
      <c r="I423" s="44" t="s">
        <v>3</v>
      </c>
      <c r="J423" s="46">
        <f t="shared" si="312"/>
        <v>0.75</v>
      </c>
      <c r="K423" s="100"/>
      <c r="L423" s="44" t="str">
        <f t="shared" si="313"/>
        <v/>
      </c>
      <c r="M423" s="46">
        <f t="shared" si="314"/>
        <v>0.75</v>
      </c>
      <c r="N423" s="46"/>
      <c r="O423" s="41">
        <f t="shared" si="311"/>
        <v>0</v>
      </c>
      <c r="P423" s="42">
        <v>70000</v>
      </c>
      <c r="Q423" s="44" t="s">
        <v>3</v>
      </c>
      <c r="R423" s="28" t="s">
        <v>55</v>
      </c>
      <c r="S423" s="48">
        <f t="shared" si="254"/>
        <v>490000</v>
      </c>
      <c r="T423" s="48">
        <f t="shared" si="287"/>
        <v>0</v>
      </c>
      <c r="W423" s="28">
        <v>774</v>
      </c>
      <c r="X423" s="105">
        <v>1.77</v>
      </c>
      <c r="Y423" s="105">
        <v>11.79</v>
      </c>
      <c r="Z423" s="73" t="s">
        <v>777</v>
      </c>
      <c r="AA423" s="28">
        <v>500</v>
      </c>
    </row>
    <row r="424" spans="1:27" x14ac:dyDescent="0.25">
      <c r="A424" s="4"/>
      <c r="B424" s="62" t="s">
        <v>1481</v>
      </c>
      <c r="C424" s="75" t="s">
        <v>1482</v>
      </c>
      <c r="D424" s="28" t="s">
        <v>770</v>
      </c>
      <c r="E424" s="28">
        <f t="shared" si="315"/>
        <v>92111</v>
      </c>
      <c r="F424" s="143" t="str">
        <f>INDEX(PV_Summary!$B$18:$B$118,MATCH($E424,PV_Summary!$A$18:$A$118,0))</f>
        <v>S</v>
      </c>
      <c r="G424" s="123">
        <v>32.827883</v>
      </c>
      <c r="H424" s="61">
        <v>-117.16501700000001</v>
      </c>
      <c r="I424" s="44" t="s">
        <v>3</v>
      </c>
      <c r="J424" s="46">
        <f t="shared" ref="J424:J426" ca="1" si="316">IF(O424&gt;1,Sym_Scl_Aggr_Parent,IF(O424&lt;1,Sym_Scl_Aggr_Child,Sym_Scl_Normal))</f>
        <v>1</v>
      </c>
      <c r="K424" s="100"/>
      <c r="L424" s="44" t="str">
        <f t="shared" ref="L424:L426" ca="1" si="317">IF(O424&gt;1,"Total","")</f>
        <v/>
      </c>
      <c r="M424" s="46">
        <f t="shared" ref="M424:M426" ca="1" si="318">IF(O424&gt;1,Label_Scl_Aggr_Parent,IF(O424&lt;1,Label_Scl_Aggr_Child,Label_Scl_Normal))</f>
        <v>1</v>
      </c>
      <c r="N424" s="46"/>
      <c r="O424" s="41">
        <f t="shared" ca="1" si="311"/>
        <v>1</v>
      </c>
      <c r="Q424" s="44"/>
      <c r="S424" s="48"/>
      <c r="T424" s="48"/>
      <c r="U424" s="28" t="s">
        <v>1483</v>
      </c>
      <c r="W424" s="28">
        <v>772</v>
      </c>
      <c r="X424" s="105">
        <v>1.76</v>
      </c>
      <c r="Y424" s="105">
        <v>11.73</v>
      </c>
      <c r="Z424" s="73" t="s">
        <v>777</v>
      </c>
      <c r="AA424" s="28">
        <v>100</v>
      </c>
    </row>
    <row r="425" spans="1:27" x14ac:dyDescent="0.25">
      <c r="A425" s="4"/>
      <c r="B425" s="62" t="s">
        <v>774</v>
      </c>
      <c r="C425" s="75" t="s">
        <v>775</v>
      </c>
      <c r="D425" s="28" t="s">
        <v>770</v>
      </c>
      <c r="E425" s="28">
        <f t="shared" si="278"/>
        <v>92111</v>
      </c>
      <c r="F425" s="143" t="str">
        <f>INDEX(PV_Summary!$B$18:$B$118,MATCH($E425,PV_Summary!$A$18:$A$118,0))</f>
        <v>S</v>
      </c>
      <c r="G425" s="123">
        <v>32.828280999999997</v>
      </c>
      <c r="H425" s="61">
        <v>-117.15042800000001</v>
      </c>
      <c r="I425" s="44" t="s">
        <v>37</v>
      </c>
      <c r="J425" s="46">
        <f t="shared" ca="1" si="316"/>
        <v>1</v>
      </c>
      <c r="K425" s="100"/>
      <c r="L425" s="44" t="str">
        <f t="shared" ca="1" si="317"/>
        <v/>
      </c>
      <c r="M425" s="46">
        <f t="shared" ca="1" si="318"/>
        <v>1</v>
      </c>
      <c r="N425" s="46"/>
      <c r="O425" s="41">
        <f t="shared" ca="1" si="311"/>
        <v>1</v>
      </c>
      <c r="P425" s="42">
        <v>200000</v>
      </c>
      <c r="Q425" s="44" t="s">
        <v>37</v>
      </c>
      <c r="R425" s="28" t="s">
        <v>55</v>
      </c>
      <c r="S425" s="48">
        <f t="shared" si="254"/>
        <v>1400000</v>
      </c>
      <c r="T425" s="48">
        <f t="shared" ref="T425:T456" ca="1" si="319">SUMIF($C:$C,$C425,$S:$S)*IF($O425&gt;=1,1,0)</f>
        <v>1400000</v>
      </c>
      <c r="W425" s="28">
        <v>711</v>
      </c>
      <c r="X425" s="105">
        <v>1.5</v>
      </c>
      <c r="Y425" s="105">
        <v>9.9700000000000006</v>
      </c>
      <c r="Z425" s="73" t="s">
        <v>776</v>
      </c>
      <c r="AA425" s="28">
        <v>0</v>
      </c>
    </row>
    <row r="426" spans="1:27" x14ac:dyDescent="0.25">
      <c r="A426" s="4"/>
      <c r="B426" s="62" t="s">
        <v>1454</v>
      </c>
      <c r="C426" s="75" t="s">
        <v>1455</v>
      </c>
      <c r="D426" s="28" t="s">
        <v>770</v>
      </c>
      <c r="E426" s="28">
        <f t="shared" si="278"/>
        <v>92111</v>
      </c>
      <c r="F426" s="143" t="str">
        <f>INDEX(PV_Summary!$B$18:$B$118,MATCH($E426,PV_Summary!$A$18:$A$118,0))</f>
        <v>S</v>
      </c>
      <c r="G426" s="123">
        <v>32.823827000000001</v>
      </c>
      <c r="H426" s="61">
        <v>-117.147801</v>
      </c>
      <c r="I426" s="44" t="s">
        <v>69</v>
      </c>
      <c r="J426" s="46">
        <f t="shared" ca="1" si="316"/>
        <v>1.5</v>
      </c>
      <c r="K426" s="100"/>
      <c r="L426" s="44" t="str">
        <f t="shared" ca="1" si="317"/>
        <v>Total</v>
      </c>
      <c r="M426" s="46">
        <f t="shared" ca="1" si="318"/>
        <v>1.25</v>
      </c>
      <c r="N426" s="46"/>
      <c r="O426" s="41">
        <f t="shared" ca="1" si="311"/>
        <v>4</v>
      </c>
      <c r="Q426" s="44"/>
      <c r="S426" s="48">
        <f t="shared" si="254"/>
        <v>0</v>
      </c>
      <c r="T426" s="48">
        <f t="shared" ca="1" si="319"/>
        <v>1303000</v>
      </c>
      <c r="W426" s="28">
        <v>712</v>
      </c>
      <c r="X426" s="105">
        <v>1.48</v>
      </c>
      <c r="Y426" s="105">
        <v>9.84</v>
      </c>
      <c r="Z426" s="73" t="s">
        <v>776</v>
      </c>
      <c r="AA426" s="28"/>
    </row>
    <row r="427" spans="1:27" x14ac:dyDescent="0.25">
      <c r="A427" s="4"/>
      <c r="B427" s="98" t="s">
        <v>1456</v>
      </c>
      <c r="C427" s="75" t="s">
        <v>1455</v>
      </c>
      <c r="D427" s="28" t="s">
        <v>770</v>
      </c>
      <c r="E427" s="28">
        <f t="shared" ref="E427:E428" si="320">RIGHT(TRIM(D427),5)*1</f>
        <v>92111</v>
      </c>
      <c r="F427" s="143" t="str">
        <f>INDEX(PV_Summary!$B$18:$B$118,MATCH($E427,PV_Summary!$A$18:$A$118,0))</f>
        <v>S</v>
      </c>
      <c r="G427" s="123">
        <v>32.823197999999998</v>
      </c>
      <c r="H427" s="61">
        <v>-117.14841</v>
      </c>
      <c r="I427" s="44" t="s">
        <v>3</v>
      </c>
      <c r="J427" s="46">
        <f t="shared" ref="J427:J430" si="321">IF(O427&gt;1,Sym_Scl_Aggr_Parent,IF(O427&lt;1,Sym_Scl_Aggr_Child,Sym_Scl_Normal))</f>
        <v>0.75</v>
      </c>
      <c r="K427" s="100"/>
      <c r="L427" s="44" t="str">
        <f t="shared" ref="L427:L430" si="322">IF(O427&gt;1,"Total","")</f>
        <v/>
      </c>
      <c r="M427" s="46">
        <f t="shared" ref="M427:M430" si="323">IF(O427&gt;1,Label_Scl_Aggr_Parent,IF(O427&lt;1,Label_Scl_Aggr_Child,Label_Scl_Normal))</f>
        <v>0.75</v>
      </c>
      <c r="N427" s="46"/>
      <c r="O427" s="41">
        <f t="shared" si="311"/>
        <v>0</v>
      </c>
      <c r="P427" s="42">
        <v>83000</v>
      </c>
      <c r="Q427" s="44" t="s">
        <v>3</v>
      </c>
      <c r="R427" s="28" t="s">
        <v>55</v>
      </c>
      <c r="S427" s="48">
        <f t="shared" si="254"/>
        <v>581000</v>
      </c>
      <c r="T427" s="48">
        <f t="shared" si="319"/>
        <v>0</v>
      </c>
      <c r="W427" s="28">
        <v>712</v>
      </c>
      <c r="X427" s="105">
        <v>1.48</v>
      </c>
      <c r="Y427" s="105">
        <v>9.84</v>
      </c>
      <c r="Z427" s="73" t="s">
        <v>776</v>
      </c>
      <c r="AA427" s="28">
        <v>300</v>
      </c>
    </row>
    <row r="428" spans="1:27" x14ac:dyDescent="0.25">
      <c r="A428" s="4"/>
      <c r="B428" s="98" t="s">
        <v>1457</v>
      </c>
      <c r="C428" s="75" t="s">
        <v>1455</v>
      </c>
      <c r="D428" s="28" t="s">
        <v>770</v>
      </c>
      <c r="E428" s="28">
        <f t="shared" si="320"/>
        <v>92111</v>
      </c>
      <c r="F428" s="143" t="str">
        <f>INDEX(PV_Summary!$B$18:$B$118,MATCH($E428,PV_Summary!$A$18:$A$118,0))</f>
        <v>S</v>
      </c>
      <c r="G428" s="123">
        <v>32.824071000000004</v>
      </c>
      <c r="H428" s="61">
        <v>-117.146568</v>
      </c>
      <c r="I428" s="44" t="s">
        <v>3</v>
      </c>
      <c r="J428" s="46">
        <f t="shared" si="321"/>
        <v>0.75</v>
      </c>
      <c r="K428" s="100"/>
      <c r="L428" s="44" t="str">
        <f t="shared" si="322"/>
        <v/>
      </c>
      <c r="M428" s="46">
        <f t="shared" si="323"/>
        <v>0.75</v>
      </c>
      <c r="N428" s="46"/>
      <c r="O428" s="41">
        <f t="shared" si="311"/>
        <v>0</v>
      </c>
      <c r="P428" s="42">
        <v>46000</v>
      </c>
      <c r="Q428" s="44" t="s">
        <v>3</v>
      </c>
      <c r="R428" s="28" t="s">
        <v>55</v>
      </c>
      <c r="S428" s="48">
        <f t="shared" si="254"/>
        <v>322000</v>
      </c>
      <c r="T428" s="48">
        <f t="shared" si="319"/>
        <v>0</v>
      </c>
      <c r="W428" s="28">
        <v>712</v>
      </c>
      <c r="X428" s="105">
        <v>1.48</v>
      </c>
      <c r="Y428" s="105">
        <v>9.84</v>
      </c>
      <c r="Z428" s="73" t="s">
        <v>776</v>
      </c>
      <c r="AA428" s="28">
        <v>200</v>
      </c>
    </row>
    <row r="429" spans="1:27" x14ac:dyDescent="0.25">
      <c r="A429" s="4"/>
      <c r="B429" s="98" t="s">
        <v>1458</v>
      </c>
      <c r="C429" s="75" t="s">
        <v>1455</v>
      </c>
      <c r="D429" s="28" t="s">
        <v>770</v>
      </c>
      <c r="E429" s="28">
        <f t="shared" ref="E429" si="324">RIGHT(TRIM(D429),5)*1</f>
        <v>92111</v>
      </c>
      <c r="F429" s="143" t="str">
        <f>INDEX(PV_Summary!$B$18:$B$118,MATCH($E429,PV_Summary!$A$18:$A$118,0))</f>
        <v>S</v>
      </c>
      <c r="G429" s="123">
        <v>32.823991999999997</v>
      </c>
      <c r="H429" s="61">
        <v>-117.147811</v>
      </c>
      <c r="I429" s="44" t="s">
        <v>37</v>
      </c>
      <c r="J429" s="46">
        <f t="shared" si="321"/>
        <v>0.75</v>
      </c>
      <c r="K429" s="100"/>
      <c r="L429" s="44" t="str">
        <f t="shared" si="322"/>
        <v/>
      </c>
      <c r="M429" s="46">
        <f t="shared" si="323"/>
        <v>0.75</v>
      </c>
      <c r="N429" s="46"/>
      <c r="O429" s="41">
        <f t="shared" si="311"/>
        <v>0</v>
      </c>
      <c r="P429" s="42">
        <v>80000</v>
      </c>
      <c r="Q429" s="44" t="s">
        <v>37</v>
      </c>
      <c r="R429" s="28" t="s">
        <v>57</v>
      </c>
      <c r="S429" s="48">
        <f t="shared" si="254"/>
        <v>400000</v>
      </c>
      <c r="T429" s="48">
        <f t="shared" si="319"/>
        <v>0</v>
      </c>
      <c r="W429" s="28">
        <v>712</v>
      </c>
      <c r="X429" s="105">
        <v>1.48</v>
      </c>
      <c r="Y429" s="105">
        <v>9.84</v>
      </c>
      <c r="Z429" s="73" t="s">
        <v>776</v>
      </c>
      <c r="AA429" s="28">
        <v>0</v>
      </c>
    </row>
    <row r="430" spans="1:27" x14ac:dyDescent="0.25">
      <c r="A430" s="4"/>
      <c r="B430" s="62" t="s">
        <v>779</v>
      </c>
      <c r="C430" s="75" t="s">
        <v>778</v>
      </c>
      <c r="D430" s="28" t="s">
        <v>770</v>
      </c>
      <c r="E430" s="28">
        <f>RIGHT(TRIM(D430),5)*1</f>
        <v>92111</v>
      </c>
      <c r="F430" s="143" t="str">
        <f>INDEX(PV_Summary!$B$18:$B$118,MATCH($E430,PV_Summary!$A$18:$A$118,0))</f>
        <v>S</v>
      </c>
      <c r="G430" s="123">
        <v>32.816096999999999</v>
      </c>
      <c r="H430" s="61">
        <v>-117.152621</v>
      </c>
      <c r="I430" s="44" t="s">
        <v>62</v>
      </c>
      <c r="J430" s="46">
        <f t="shared" ca="1" si="321"/>
        <v>1.5</v>
      </c>
      <c r="K430" s="100"/>
      <c r="L430" s="44" t="str">
        <f t="shared" ca="1" si="322"/>
        <v>Total</v>
      </c>
      <c r="M430" s="46">
        <f t="shared" ca="1" si="323"/>
        <v>1.25</v>
      </c>
      <c r="N430" s="46"/>
      <c r="O430" s="41">
        <f t="shared" ca="1" si="311"/>
        <v>4</v>
      </c>
      <c r="Q430" s="44"/>
      <c r="S430" s="48">
        <f t="shared" si="254"/>
        <v>0</v>
      </c>
      <c r="T430" s="48">
        <f t="shared" ca="1" si="319"/>
        <v>2545000</v>
      </c>
      <c r="W430" s="28">
        <v>775</v>
      </c>
      <c r="X430" s="105">
        <v>1.77</v>
      </c>
      <c r="Y430" s="105">
        <v>11.82</v>
      </c>
      <c r="Z430" s="73" t="s">
        <v>777</v>
      </c>
      <c r="AA430" s="28"/>
    </row>
    <row r="431" spans="1:27" x14ac:dyDescent="0.25">
      <c r="A431" s="4"/>
      <c r="B431" s="98" t="s">
        <v>779</v>
      </c>
      <c r="C431" s="75" t="s">
        <v>778</v>
      </c>
      <c r="D431" s="28" t="s">
        <v>770</v>
      </c>
      <c r="E431" s="28">
        <f t="shared" si="278"/>
        <v>92111</v>
      </c>
      <c r="F431" s="143" t="str">
        <f>INDEX(PV_Summary!$B$18:$B$118,MATCH($E431,PV_Summary!$A$18:$A$118,0))</f>
        <v>S</v>
      </c>
      <c r="G431" s="123">
        <v>32.816516999999997</v>
      </c>
      <c r="H431" s="61">
        <v>-117.153577</v>
      </c>
      <c r="I431" s="44" t="s">
        <v>37</v>
      </c>
      <c r="J431" s="46">
        <f t="shared" si="275"/>
        <v>0.75</v>
      </c>
      <c r="K431" s="100"/>
      <c r="L431" s="44" t="str">
        <f t="shared" si="276"/>
        <v/>
      </c>
      <c r="M431" s="46">
        <f t="shared" si="277"/>
        <v>0.75</v>
      </c>
      <c r="N431" s="46"/>
      <c r="O431" s="41">
        <f t="shared" ref="O431:O508" si="325">IF($C431=$C430,0,COUNTIFS(Address,$C431))</f>
        <v>0</v>
      </c>
      <c r="P431" s="42">
        <v>94000</v>
      </c>
      <c r="Q431" s="44" t="s">
        <v>37</v>
      </c>
      <c r="R431" s="28" t="s">
        <v>56</v>
      </c>
      <c r="S431" s="48">
        <f t="shared" si="254"/>
        <v>564000</v>
      </c>
      <c r="T431" s="48">
        <f t="shared" si="319"/>
        <v>0</v>
      </c>
      <c r="W431" s="28">
        <v>775</v>
      </c>
      <c r="X431" s="105">
        <v>1.77</v>
      </c>
      <c r="Y431" s="105">
        <v>11.82</v>
      </c>
      <c r="Z431" s="73" t="s">
        <v>777</v>
      </c>
      <c r="AA431" s="28">
        <v>50</v>
      </c>
    </row>
    <row r="432" spans="1:27" x14ac:dyDescent="0.25">
      <c r="A432" s="4"/>
      <c r="B432" s="98" t="s">
        <v>780</v>
      </c>
      <c r="C432" s="75" t="s">
        <v>778</v>
      </c>
      <c r="D432" s="28" t="s">
        <v>770</v>
      </c>
      <c r="E432" s="28">
        <f t="shared" si="278"/>
        <v>92111</v>
      </c>
      <c r="F432" s="143" t="str">
        <f>INDEX(PV_Summary!$B$18:$B$118,MATCH($E432,PV_Summary!$A$18:$A$118,0))</f>
        <v>S</v>
      </c>
      <c r="G432" s="123">
        <v>32.815734999999997</v>
      </c>
      <c r="H432" s="61">
        <v>-117.15258799999999</v>
      </c>
      <c r="I432" s="44" t="s">
        <v>3</v>
      </c>
      <c r="J432" s="46">
        <f t="shared" si="275"/>
        <v>0.75</v>
      </c>
      <c r="K432" s="100"/>
      <c r="L432" s="44" t="str">
        <f t="shared" si="276"/>
        <v/>
      </c>
      <c r="M432" s="46">
        <f t="shared" si="277"/>
        <v>0.75</v>
      </c>
      <c r="N432" s="46"/>
      <c r="O432" s="41">
        <f t="shared" si="325"/>
        <v>0</v>
      </c>
      <c r="P432" s="42">
        <v>223000</v>
      </c>
      <c r="Q432" s="44" t="s">
        <v>3</v>
      </c>
      <c r="R432" s="28" t="s">
        <v>55</v>
      </c>
      <c r="S432" s="48">
        <f t="shared" si="254"/>
        <v>1561000</v>
      </c>
      <c r="T432" s="48">
        <f t="shared" si="319"/>
        <v>0</v>
      </c>
      <c r="W432" s="28">
        <v>775</v>
      </c>
      <c r="X432" s="105">
        <v>1.77</v>
      </c>
      <c r="Y432" s="105">
        <v>11.82</v>
      </c>
      <c r="Z432" s="73" t="s">
        <v>777</v>
      </c>
      <c r="AA432" s="28">
        <v>200</v>
      </c>
    </row>
    <row r="433" spans="1:27" x14ac:dyDescent="0.25">
      <c r="A433" s="4"/>
      <c r="B433" s="98" t="s">
        <v>210</v>
      </c>
      <c r="C433" s="75" t="s">
        <v>778</v>
      </c>
      <c r="D433" s="28" t="s">
        <v>770</v>
      </c>
      <c r="E433" s="28">
        <f t="shared" si="278"/>
        <v>92111</v>
      </c>
      <c r="F433" s="143" t="str">
        <f>INDEX(PV_Summary!$B$18:$B$118,MATCH($E433,PV_Summary!$A$18:$A$118,0))</f>
        <v>S</v>
      </c>
      <c r="G433" s="123">
        <v>32.816741999999998</v>
      </c>
      <c r="H433" s="61">
        <v>-117.151662</v>
      </c>
      <c r="I433" s="44" t="s">
        <v>37</v>
      </c>
      <c r="J433" s="46">
        <f t="shared" si="275"/>
        <v>0.75</v>
      </c>
      <c r="K433" s="100"/>
      <c r="L433" s="44" t="str">
        <f t="shared" si="276"/>
        <v/>
      </c>
      <c r="M433" s="46">
        <f t="shared" si="277"/>
        <v>0.75</v>
      </c>
      <c r="N433" s="46"/>
      <c r="O433" s="41">
        <f t="shared" si="325"/>
        <v>0</v>
      </c>
      <c r="P433" s="42">
        <v>60000</v>
      </c>
      <c r="Q433" s="44" t="s">
        <v>37</v>
      </c>
      <c r="R433" s="28" t="s">
        <v>55</v>
      </c>
      <c r="S433" s="48">
        <f t="shared" si="254"/>
        <v>420000</v>
      </c>
      <c r="T433" s="48">
        <f t="shared" si="319"/>
        <v>0</v>
      </c>
      <c r="W433" s="28">
        <v>775</v>
      </c>
      <c r="X433" s="105">
        <v>1.77</v>
      </c>
      <c r="Y433" s="105">
        <v>11.82</v>
      </c>
      <c r="Z433" s="73" t="s">
        <v>777</v>
      </c>
      <c r="AA433" s="28">
        <v>0</v>
      </c>
    </row>
    <row r="434" spans="1:27" x14ac:dyDescent="0.25">
      <c r="A434" s="4"/>
      <c r="B434" s="62" t="s">
        <v>786</v>
      </c>
      <c r="C434" s="75" t="s">
        <v>784</v>
      </c>
      <c r="D434" s="28" t="s">
        <v>785</v>
      </c>
      <c r="E434" s="28">
        <f t="shared" si="278"/>
        <v>92123</v>
      </c>
      <c r="F434" s="143" t="str">
        <f>INDEX(PV_Summary!$B$18:$B$118,MATCH($E434,PV_Summary!$A$18:$A$118,0))</f>
        <v>S</v>
      </c>
      <c r="G434" s="123">
        <v>32.821136000000003</v>
      </c>
      <c r="H434" s="61">
        <v>-117.141808</v>
      </c>
      <c r="I434" s="44" t="s">
        <v>69</v>
      </c>
      <c r="J434" s="46">
        <f t="shared" ca="1" si="275"/>
        <v>1.5</v>
      </c>
      <c r="K434" s="100"/>
      <c r="L434" s="44" t="str">
        <f t="shared" ca="1" si="276"/>
        <v>Total</v>
      </c>
      <c r="M434" s="46">
        <f t="shared" ca="1" si="277"/>
        <v>1.25</v>
      </c>
      <c r="N434" s="46"/>
      <c r="O434" s="41">
        <f t="shared" ca="1" si="325"/>
        <v>4</v>
      </c>
      <c r="Q434" s="44"/>
      <c r="S434" s="48">
        <f t="shared" si="254"/>
        <v>0</v>
      </c>
      <c r="T434" s="48">
        <f t="shared" ca="1" si="319"/>
        <v>2555000</v>
      </c>
      <c r="W434" s="28">
        <v>1286</v>
      </c>
      <c r="X434" s="105">
        <v>1.76</v>
      </c>
      <c r="Y434" s="105">
        <v>11.55</v>
      </c>
      <c r="Z434" s="73" t="s">
        <v>777</v>
      </c>
      <c r="AA434" s="28"/>
    </row>
    <row r="435" spans="1:27" x14ac:dyDescent="0.25">
      <c r="A435" s="4"/>
      <c r="B435" s="98" t="s">
        <v>781</v>
      </c>
      <c r="C435" s="75" t="s">
        <v>784</v>
      </c>
      <c r="D435" s="28" t="s">
        <v>785</v>
      </c>
      <c r="E435" s="28">
        <f t="shared" si="278"/>
        <v>92123</v>
      </c>
      <c r="F435" s="143" t="str">
        <f>INDEX(PV_Summary!$B$18:$B$118,MATCH($E435,PV_Summary!$A$18:$A$118,0))</f>
        <v>S</v>
      </c>
      <c r="G435" s="123">
        <v>32.821680000000001</v>
      </c>
      <c r="H435" s="61">
        <v>-117.141496</v>
      </c>
      <c r="I435" s="44" t="s">
        <v>37</v>
      </c>
      <c r="J435" s="46">
        <f t="shared" si="275"/>
        <v>0.75</v>
      </c>
      <c r="K435" s="100"/>
      <c r="L435" s="44" t="str">
        <f t="shared" si="276"/>
        <v/>
      </c>
      <c r="M435" s="46">
        <f t="shared" si="277"/>
        <v>0.75</v>
      </c>
      <c r="N435" s="46"/>
      <c r="O435" s="41">
        <f t="shared" si="325"/>
        <v>0</v>
      </c>
      <c r="P435" s="42">
        <v>125000</v>
      </c>
      <c r="Q435" s="44" t="s">
        <v>37</v>
      </c>
      <c r="R435" s="28" t="s">
        <v>55</v>
      </c>
      <c r="S435" s="48">
        <f t="shared" si="254"/>
        <v>875000</v>
      </c>
      <c r="T435" s="48">
        <f t="shared" si="319"/>
        <v>0</v>
      </c>
      <c r="W435" s="28">
        <v>1286</v>
      </c>
      <c r="X435" s="105">
        <v>1.76</v>
      </c>
      <c r="Y435" s="105">
        <v>11.55</v>
      </c>
      <c r="Z435" s="73" t="s">
        <v>777</v>
      </c>
      <c r="AA435" s="28">
        <v>100</v>
      </c>
    </row>
    <row r="436" spans="1:27" x14ac:dyDescent="0.25">
      <c r="A436" s="4"/>
      <c r="B436" s="98" t="s">
        <v>782</v>
      </c>
      <c r="C436" s="75" t="s">
        <v>784</v>
      </c>
      <c r="D436" s="28" t="s">
        <v>785</v>
      </c>
      <c r="E436" s="28">
        <f t="shared" si="278"/>
        <v>92123</v>
      </c>
      <c r="F436" s="143" t="str">
        <f>INDEX(PV_Summary!$B$18:$B$118,MATCH($E436,PV_Summary!$A$18:$A$118,0))</f>
        <v>S</v>
      </c>
      <c r="G436" s="123">
        <v>32.822451999999998</v>
      </c>
      <c r="H436" s="61">
        <v>-117.141959</v>
      </c>
      <c r="I436" s="44" t="s">
        <v>3</v>
      </c>
      <c r="J436" s="46">
        <f t="shared" si="275"/>
        <v>0.75</v>
      </c>
      <c r="K436" s="100"/>
      <c r="L436" s="44" t="str">
        <f t="shared" si="276"/>
        <v/>
      </c>
      <c r="M436" s="46">
        <f t="shared" si="277"/>
        <v>0.75</v>
      </c>
      <c r="N436" s="46"/>
      <c r="O436" s="41">
        <f t="shared" si="325"/>
        <v>0</v>
      </c>
      <c r="P436" s="42">
        <v>150000</v>
      </c>
      <c r="Q436" s="44" t="s">
        <v>3</v>
      </c>
      <c r="R436" s="28" t="s">
        <v>55</v>
      </c>
      <c r="S436" s="48">
        <f t="shared" si="254"/>
        <v>1050000</v>
      </c>
      <c r="T436" s="48">
        <f t="shared" si="319"/>
        <v>0</v>
      </c>
      <c r="W436" s="28">
        <v>1286</v>
      </c>
      <c r="X436" s="105">
        <v>1.76</v>
      </c>
      <c r="Y436" s="105">
        <v>11.55</v>
      </c>
      <c r="Z436" s="73" t="s">
        <v>777</v>
      </c>
      <c r="AA436" s="28">
        <v>50</v>
      </c>
    </row>
    <row r="437" spans="1:27" x14ac:dyDescent="0.25">
      <c r="A437" s="4"/>
      <c r="B437" s="98" t="s">
        <v>783</v>
      </c>
      <c r="C437" s="75" t="s">
        <v>784</v>
      </c>
      <c r="D437" s="28" t="s">
        <v>785</v>
      </c>
      <c r="E437" s="28">
        <f t="shared" si="278"/>
        <v>92123</v>
      </c>
      <c r="F437" s="143" t="str">
        <f>INDEX(PV_Summary!$B$18:$B$118,MATCH($E437,PV_Summary!$A$18:$A$118,0))</f>
        <v>S</v>
      </c>
      <c r="G437" s="123">
        <v>32.821035999999999</v>
      </c>
      <c r="H437" s="61">
        <v>-117.140433</v>
      </c>
      <c r="I437" s="44" t="s">
        <v>3</v>
      </c>
      <c r="J437" s="46">
        <f t="shared" si="275"/>
        <v>0.75</v>
      </c>
      <c r="K437" s="100"/>
      <c r="L437" s="44" t="str">
        <f t="shared" si="276"/>
        <v/>
      </c>
      <c r="M437" s="46">
        <f t="shared" si="277"/>
        <v>0.75</v>
      </c>
      <c r="N437" s="46"/>
      <c r="O437" s="41">
        <f t="shared" si="325"/>
        <v>0</v>
      </c>
      <c r="P437" s="42">
        <v>90000</v>
      </c>
      <c r="Q437" s="44" t="s">
        <v>3</v>
      </c>
      <c r="R437" s="28" t="s">
        <v>55</v>
      </c>
      <c r="S437" s="48">
        <f t="shared" si="254"/>
        <v>630000</v>
      </c>
      <c r="T437" s="48">
        <f t="shared" si="319"/>
        <v>0</v>
      </c>
      <c r="W437" s="28">
        <v>1286</v>
      </c>
      <c r="X437" s="105">
        <v>1.76</v>
      </c>
      <c r="Y437" s="105">
        <v>11.55</v>
      </c>
      <c r="Z437" s="73" t="s">
        <v>777</v>
      </c>
      <c r="AA437" s="28">
        <v>100</v>
      </c>
    </row>
    <row r="438" spans="1:27" x14ac:dyDescent="0.25">
      <c r="A438" s="4"/>
      <c r="B438" s="62" t="s">
        <v>1469</v>
      </c>
      <c r="C438" s="75" t="s">
        <v>1468</v>
      </c>
      <c r="D438" s="28" t="s">
        <v>785</v>
      </c>
      <c r="E438" s="28">
        <f t="shared" si="278"/>
        <v>92123</v>
      </c>
      <c r="F438" s="143" t="str">
        <f>INDEX(PV_Summary!$B$18:$B$118,MATCH($E438,PV_Summary!$A$18:$A$118,0))</f>
        <v>S</v>
      </c>
      <c r="G438" s="123">
        <v>32.819049</v>
      </c>
      <c r="H438" s="61">
        <v>-117.140096</v>
      </c>
      <c r="I438" s="44" t="s">
        <v>3</v>
      </c>
      <c r="J438" s="46">
        <f t="shared" ref="J438:J439" ca="1" si="326">IF(O438&gt;1,Sym_Scl_Aggr_Parent,IF(O438&lt;1,Sym_Scl_Aggr_Child,Sym_Scl_Normal))</f>
        <v>1</v>
      </c>
      <c r="K438" s="100"/>
      <c r="L438" s="44" t="str">
        <f t="shared" ref="L438:L439" ca="1" si="327">IF(O438&gt;1,"Total","")</f>
        <v/>
      </c>
      <c r="M438" s="46">
        <f t="shared" ref="M438:M439" ca="1" si="328">IF(O438&gt;1,Label_Scl_Aggr_Parent,IF(O438&lt;1,Label_Scl_Aggr_Child,Label_Scl_Normal))</f>
        <v>1</v>
      </c>
      <c r="N438" s="46"/>
      <c r="O438" s="41">
        <f t="shared" ca="1" si="325"/>
        <v>1</v>
      </c>
      <c r="P438" s="42">
        <v>223000</v>
      </c>
      <c r="Q438" s="44" t="s">
        <v>3</v>
      </c>
      <c r="R438" s="28" t="s">
        <v>55</v>
      </c>
      <c r="S438" s="48">
        <f t="shared" si="254"/>
        <v>1561000</v>
      </c>
      <c r="T438" s="48">
        <f t="shared" ca="1" si="319"/>
        <v>1561000</v>
      </c>
      <c r="W438" s="28">
        <v>348</v>
      </c>
      <c r="X438" s="105">
        <v>0.78</v>
      </c>
      <c r="Y438" s="105">
        <v>5.23</v>
      </c>
      <c r="Z438" s="73" t="s">
        <v>776</v>
      </c>
      <c r="AA438" s="28">
        <v>0</v>
      </c>
    </row>
    <row r="439" spans="1:27" x14ac:dyDescent="0.25">
      <c r="A439" s="4"/>
      <c r="B439" s="62" t="s">
        <v>1459</v>
      </c>
      <c r="C439" s="75" t="s">
        <v>1460</v>
      </c>
      <c r="D439" s="28" t="s">
        <v>785</v>
      </c>
      <c r="E439" s="28">
        <f t="shared" si="278"/>
        <v>92123</v>
      </c>
      <c r="F439" s="143" t="str">
        <f>INDEX(PV_Summary!$B$18:$B$118,MATCH($E439,PV_Summary!$A$18:$A$118,0))</f>
        <v>S</v>
      </c>
      <c r="G439" s="123">
        <v>32.836889999999997</v>
      </c>
      <c r="H439" s="61">
        <v>-117.130201</v>
      </c>
      <c r="I439" s="44" t="s">
        <v>237</v>
      </c>
      <c r="J439" s="46">
        <f t="shared" ca="1" si="326"/>
        <v>1.5</v>
      </c>
      <c r="K439" s="100"/>
      <c r="L439" s="44" t="str">
        <f t="shared" ca="1" si="327"/>
        <v>Total</v>
      </c>
      <c r="M439" s="46">
        <f t="shared" ca="1" si="328"/>
        <v>1.25</v>
      </c>
      <c r="N439" s="46"/>
      <c r="O439" s="41">
        <f t="shared" ca="1" si="325"/>
        <v>4</v>
      </c>
      <c r="Q439" s="44"/>
      <c r="S439" s="48">
        <f t="shared" si="254"/>
        <v>0</v>
      </c>
      <c r="T439" s="48">
        <f t="shared" ca="1" si="319"/>
        <v>1335000</v>
      </c>
      <c r="W439" s="28">
        <v>251</v>
      </c>
      <c r="X439" s="105">
        <v>0.98</v>
      </c>
      <c r="Y439" s="105">
        <v>6.56</v>
      </c>
      <c r="Z439" s="73" t="s">
        <v>776</v>
      </c>
      <c r="AA439" s="28"/>
    </row>
    <row r="440" spans="1:27" x14ac:dyDescent="0.25">
      <c r="A440" s="4"/>
      <c r="B440" s="98" t="s">
        <v>1461</v>
      </c>
      <c r="C440" s="75" t="s">
        <v>1460</v>
      </c>
      <c r="D440" s="28" t="s">
        <v>785</v>
      </c>
      <c r="E440" s="28">
        <f t="shared" ref="E440:E442" si="329">RIGHT(TRIM(D440),5)*1</f>
        <v>92123</v>
      </c>
      <c r="F440" s="143" t="str">
        <f>INDEX(PV_Summary!$B$18:$B$118,MATCH($E440,PV_Summary!$A$18:$A$118,0))</f>
        <v>S</v>
      </c>
      <c r="G440" s="123">
        <v>32.836531999999998</v>
      </c>
      <c r="H440" s="61">
        <v>-117.130207</v>
      </c>
      <c r="I440" s="44" t="s">
        <v>37</v>
      </c>
      <c r="J440" s="46">
        <f t="shared" ref="J440:J443" si="330">IF(O440&gt;1,Sym_Scl_Aggr_Parent,IF(O440&lt;1,Sym_Scl_Aggr_Child,Sym_Scl_Normal))</f>
        <v>0.75</v>
      </c>
      <c r="K440" s="100"/>
      <c r="L440" s="44" t="str">
        <f t="shared" ref="L440:L443" si="331">IF(O440&gt;1,"Total","")</f>
        <v/>
      </c>
      <c r="M440" s="46">
        <f t="shared" ref="M440:M443" si="332">IF(O440&gt;1,Label_Scl_Aggr_Parent,IF(O440&lt;1,Label_Scl_Aggr_Child,Label_Scl_Normal))</f>
        <v>0.75</v>
      </c>
      <c r="N440" s="46"/>
      <c r="O440" s="41">
        <f t="shared" si="325"/>
        <v>0</v>
      </c>
      <c r="P440" s="42">
        <v>92000</v>
      </c>
      <c r="Q440" s="44" t="s">
        <v>37</v>
      </c>
      <c r="R440" s="28" t="s">
        <v>57</v>
      </c>
      <c r="S440" s="48">
        <f t="shared" si="254"/>
        <v>460000</v>
      </c>
      <c r="T440" s="48">
        <f t="shared" si="319"/>
        <v>0</v>
      </c>
      <c r="W440" s="28">
        <v>251</v>
      </c>
      <c r="X440" s="105">
        <v>0.98</v>
      </c>
      <c r="Y440" s="105">
        <v>6.56</v>
      </c>
      <c r="Z440" s="73" t="s">
        <v>776</v>
      </c>
      <c r="AA440" s="28">
        <v>0</v>
      </c>
    </row>
    <row r="441" spans="1:27" x14ac:dyDescent="0.25">
      <c r="A441" s="4"/>
      <c r="B441" s="98" t="s">
        <v>1462</v>
      </c>
      <c r="C441" s="75" t="s">
        <v>1460</v>
      </c>
      <c r="D441" s="28" t="s">
        <v>785</v>
      </c>
      <c r="E441" s="28">
        <f t="shared" si="329"/>
        <v>92123</v>
      </c>
      <c r="F441" s="143" t="str">
        <f>INDEX(PV_Summary!$B$18:$B$118,MATCH($E441,PV_Summary!$A$18:$A$118,0))</f>
        <v>S</v>
      </c>
      <c r="G441" s="123">
        <v>32.836531999999998</v>
      </c>
      <c r="H441" s="61">
        <v>-117.130207</v>
      </c>
      <c r="I441" s="44" t="s">
        <v>36</v>
      </c>
      <c r="J441" s="46">
        <f t="shared" si="330"/>
        <v>0.75</v>
      </c>
      <c r="K441" s="100"/>
      <c r="L441" s="44" t="str">
        <f t="shared" si="331"/>
        <v/>
      </c>
      <c r="M441" s="46">
        <f t="shared" si="332"/>
        <v>0.75</v>
      </c>
      <c r="N441" s="46"/>
      <c r="O441" s="41">
        <f t="shared" si="325"/>
        <v>0</v>
      </c>
      <c r="P441" s="42">
        <v>61000</v>
      </c>
      <c r="Q441" s="44" t="s">
        <v>36</v>
      </c>
      <c r="R441" s="28" t="s">
        <v>55</v>
      </c>
      <c r="S441" s="48">
        <f t="shared" si="254"/>
        <v>427000</v>
      </c>
      <c r="T441" s="48">
        <f t="shared" si="319"/>
        <v>0</v>
      </c>
      <c r="W441" s="28">
        <v>251</v>
      </c>
      <c r="X441" s="105">
        <v>0.98</v>
      </c>
      <c r="Y441" s="105">
        <v>6.56</v>
      </c>
      <c r="Z441" s="73" t="s">
        <v>776</v>
      </c>
      <c r="AA441" s="28">
        <v>0</v>
      </c>
    </row>
    <row r="442" spans="1:27" x14ac:dyDescent="0.25">
      <c r="A442" s="4"/>
      <c r="B442" s="98" t="s">
        <v>1463</v>
      </c>
      <c r="C442" s="75" t="s">
        <v>1460</v>
      </c>
      <c r="D442" s="28" t="s">
        <v>785</v>
      </c>
      <c r="E442" s="28">
        <f t="shared" si="329"/>
        <v>92123</v>
      </c>
      <c r="F442" s="143" t="str">
        <f>INDEX(PV_Summary!$B$18:$B$118,MATCH($E442,PV_Summary!$A$18:$A$118,0))</f>
        <v>S</v>
      </c>
      <c r="G442" s="123">
        <v>32.836117999999999</v>
      </c>
      <c r="H442" s="61">
        <v>-117.129233</v>
      </c>
      <c r="I442" s="44" t="s">
        <v>3</v>
      </c>
      <c r="J442" s="46">
        <f t="shared" si="330"/>
        <v>0.75</v>
      </c>
      <c r="K442" s="100"/>
      <c r="L442" s="44" t="str">
        <f t="shared" si="331"/>
        <v/>
      </c>
      <c r="M442" s="46">
        <f t="shared" si="332"/>
        <v>0.75</v>
      </c>
      <c r="N442" s="46"/>
      <c r="O442" s="41">
        <f t="shared" si="325"/>
        <v>0</v>
      </c>
      <c r="P442" s="42">
        <v>64000</v>
      </c>
      <c r="Q442" s="44" t="s">
        <v>3</v>
      </c>
      <c r="R442" s="28" t="s">
        <v>55</v>
      </c>
      <c r="S442" s="48">
        <f t="shared" si="254"/>
        <v>448000</v>
      </c>
      <c r="T442" s="48">
        <f t="shared" si="319"/>
        <v>0</v>
      </c>
      <c r="W442" s="28">
        <v>251</v>
      </c>
      <c r="X442" s="105">
        <v>0.98</v>
      </c>
      <c r="Y442" s="105">
        <v>6.56</v>
      </c>
      <c r="Z442" s="73" t="s">
        <v>776</v>
      </c>
      <c r="AA442" s="28">
        <v>0</v>
      </c>
    </row>
    <row r="443" spans="1:27" x14ac:dyDescent="0.25">
      <c r="A443" s="4"/>
      <c r="B443" s="62" t="s">
        <v>787</v>
      </c>
      <c r="C443" s="75" t="s">
        <v>788</v>
      </c>
      <c r="D443" s="28" t="s">
        <v>785</v>
      </c>
      <c r="E443" s="28">
        <f t="shared" si="278"/>
        <v>92123</v>
      </c>
      <c r="F443" s="143" t="str">
        <f>INDEX(PV_Summary!$B$18:$B$118,MATCH($E443,PV_Summary!$A$18:$A$118,0))</f>
        <v>S</v>
      </c>
      <c r="G443" s="123">
        <v>32.818032000000002</v>
      </c>
      <c r="H443" s="61">
        <v>-117.128879</v>
      </c>
      <c r="I443" s="44" t="s">
        <v>3</v>
      </c>
      <c r="J443" s="46">
        <f t="shared" ca="1" si="330"/>
        <v>1.5</v>
      </c>
      <c r="K443" s="100"/>
      <c r="L443" s="44" t="str">
        <f t="shared" ca="1" si="331"/>
        <v>Total</v>
      </c>
      <c r="M443" s="46">
        <f t="shared" ca="1" si="332"/>
        <v>1.25</v>
      </c>
      <c r="N443" s="46"/>
      <c r="O443" s="41">
        <f t="shared" ca="1" si="325"/>
        <v>4</v>
      </c>
      <c r="Q443" s="44"/>
      <c r="S443" s="48">
        <f t="shared" si="254"/>
        <v>0</v>
      </c>
      <c r="T443" s="48">
        <f t="shared" ca="1" si="319"/>
        <v>2800000</v>
      </c>
      <c r="W443" s="28">
        <v>251</v>
      </c>
      <c r="X443" s="105">
        <v>0.98</v>
      </c>
      <c r="Y443" s="105">
        <v>6.56</v>
      </c>
      <c r="Z443" s="73" t="s">
        <v>776</v>
      </c>
      <c r="AA443" s="28"/>
    </row>
    <row r="444" spans="1:27" x14ac:dyDescent="0.25">
      <c r="A444" s="4"/>
      <c r="B444" s="98" t="s">
        <v>789</v>
      </c>
      <c r="C444" s="75" t="s">
        <v>788</v>
      </c>
      <c r="D444" s="28" t="s">
        <v>785</v>
      </c>
      <c r="E444" s="28">
        <f t="shared" si="278"/>
        <v>92123</v>
      </c>
      <c r="F444" s="143" t="str">
        <f>INDEX(PV_Summary!$B$18:$B$118,MATCH($E444,PV_Summary!$A$18:$A$118,0))</f>
        <v>S</v>
      </c>
      <c r="G444" s="123">
        <v>32.817402000000001</v>
      </c>
      <c r="H444" s="61">
        <v>-117.12851000000001</v>
      </c>
      <c r="I444" s="44" t="s">
        <v>37</v>
      </c>
      <c r="J444" s="46">
        <f t="shared" si="275"/>
        <v>0.75</v>
      </c>
      <c r="K444" s="100"/>
      <c r="L444" s="44" t="str">
        <f t="shared" si="276"/>
        <v/>
      </c>
      <c r="M444" s="46">
        <f t="shared" si="277"/>
        <v>0.75</v>
      </c>
      <c r="N444" s="46"/>
      <c r="O444" s="41">
        <f t="shared" si="325"/>
        <v>0</v>
      </c>
      <c r="P444" s="42">
        <v>175000</v>
      </c>
      <c r="Q444" s="44" t="s">
        <v>37</v>
      </c>
      <c r="R444" s="28" t="s">
        <v>55</v>
      </c>
      <c r="S444" s="48">
        <f t="shared" si="254"/>
        <v>1225000</v>
      </c>
      <c r="T444" s="48">
        <f t="shared" si="319"/>
        <v>0</v>
      </c>
      <c r="W444" s="28">
        <v>251</v>
      </c>
      <c r="X444" s="105">
        <v>0.98</v>
      </c>
      <c r="Y444" s="105">
        <v>6.56</v>
      </c>
      <c r="Z444" s="73" t="s">
        <v>776</v>
      </c>
      <c r="AA444" s="28">
        <v>220</v>
      </c>
    </row>
    <row r="445" spans="1:27" x14ac:dyDescent="0.25">
      <c r="A445" s="4"/>
      <c r="B445" s="98" t="s">
        <v>790</v>
      </c>
      <c r="C445" s="75" t="s">
        <v>788</v>
      </c>
      <c r="D445" s="28" t="s">
        <v>785</v>
      </c>
      <c r="E445" s="28">
        <f t="shared" ref="E445:E458" si="333">RIGHT(TRIM(D445),5)*1</f>
        <v>92123</v>
      </c>
      <c r="F445" s="143" t="str">
        <f>INDEX(PV_Summary!$B$18:$B$118,MATCH($E445,PV_Summary!$A$18:$A$118,0))</f>
        <v>S</v>
      </c>
      <c r="G445" s="123">
        <v>32.818596999999997</v>
      </c>
      <c r="H445" s="61">
        <v>-117.129569</v>
      </c>
      <c r="I445" s="44" t="s">
        <v>3</v>
      </c>
      <c r="J445" s="46">
        <f t="shared" si="275"/>
        <v>0.75</v>
      </c>
      <c r="K445" s="100"/>
      <c r="L445" s="44" t="str">
        <f t="shared" si="276"/>
        <v/>
      </c>
      <c r="M445" s="46">
        <f t="shared" si="277"/>
        <v>0.75</v>
      </c>
      <c r="N445" s="46"/>
      <c r="O445" s="41">
        <f t="shared" si="325"/>
        <v>0</v>
      </c>
      <c r="P445" s="42">
        <v>85000</v>
      </c>
      <c r="Q445" s="44" t="s">
        <v>3</v>
      </c>
      <c r="R445" s="28" t="s">
        <v>55</v>
      </c>
      <c r="S445" s="48">
        <f t="shared" si="254"/>
        <v>595000</v>
      </c>
      <c r="T445" s="48">
        <f t="shared" si="319"/>
        <v>0</v>
      </c>
      <c r="W445" s="28">
        <v>251</v>
      </c>
      <c r="X445" s="105">
        <v>0.98</v>
      </c>
      <c r="Y445" s="105">
        <v>6.56</v>
      </c>
      <c r="Z445" s="73" t="s">
        <v>776</v>
      </c>
      <c r="AA445" s="28">
        <v>0</v>
      </c>
    </row>
    <row r="446" spans="1:27" x14ac:dyDescent="0.25">
      <c r="A446" s="4"/>
      <c r="B446" s="98" t="s">
        <v>791</v>
      </c>
      <c r="C446" s="75" t="s">
        <v>788</v>
      </c>
      <c r="D446" s="28" t="s">
        <v>785</v>
      </c>
      <c r="E446" s="28">
        <f t="shared" si="333"/>
        <v>92123</v>
      </c>
      <c r="F446" s="143" t="str">
        <f>INDEX(PV_Summary!$B$18:$B$118,MATCH($E446,PV_Summary!$A$18:$A$118,0))</f>
        <v>S</v>
      </c>
      <c r="G446" s="123">
        <v>32.818468000000003</v>
      </c>
      <c r="H446" s="61">
        <v>-117.126571</v>
      </c>
      <c r="I446" s="44" t="s">
        <v>3</v>
      </c>
      <c r="J446" s="46">
        <f t="shared" si="275"/>
        <v>0.75</v>
      </c>
      <c r="K446" s="100"/>
      <c r="L446" s="44" t="str">
        <f t="shared" si="276"/>
        <v/>
      </c>
      <c r="M446" s="46">
        <f t="shared" si="277"/>
        <v>0.75</v>
      </c>
      <c r="N446" s="46"/>
      <c r="O446" s="41">
        <f t="shared" si="325"/>
        <v>0</v>
      </c>
      <c r="P446" s="42">
        <v>140000</v>
      </c>
      <c r="Q446" s="44" t="s">
        <v>3</v>
      </c>
      <c r="R446" s="28" t="s">
        <v>55</v>
      </c>
      <c r="S446" s="48">
        <f t="shared" si="254"/>
        <v>980000</v>
      </c>
      <c r="T446" s="48">
        <f t="shared" si="319"/>
        <v>0</v>
      </c>
      <c r="W446" s="28">
        <v>251</v>
      </c>
      <c r="X446" s="105">
        <v>0.98</v>
      </c>
      <c r="Y446" s="105">
        <v>6.56</v>
      </c>
      <c r="Z446" s="73" t="s">
        <v>776</v>
      </c>
      <c r="AA446" s="28">
        <v>100</v>
      </c>
    </row>
    <row r="447" spans="1:27" x14ac:dyDescent="0.25">
      <c r="A447" s="4"/>
      <c r="B447" s="62" t="s">
        <v>1464</v>
      </c>
      <c r="C447" s="75" t="s">
        <v>1465</v>
      </c>
      <c r="D447" s="28" t="s">
        <v>785</v>
      </c>
      <c r="E447" s="28">
        <f t="shared" si="333"/>
        <v>92123</v>
      </c>
      <c r="F447" s="143" t="str">
        <f>INDEX(PV_Summary!$B$18:$B$118,MATCH($E447,PV_Summary!$A$18:$A$118,0))</f>
        <v>S</v>
      </c>
      <c r="G447" s="123">
        <v>32.828301000000003</v>
      </c>
      <c r="H447" s="61">
        <v>-117.13041699999999</v>
      </c>
      <c r="I447" s="44" t="s">
        <v>69</v>
      </c>
      <c r="J447" s="46">
        <f t="shared" ref="J447:J455" ca="1" si="334">IF(O447&gt;1,Sym_Scl_Aggr_Parent,IF(O447&lt;1,Sym_Scl_Aggr_Child,Sym_Scl_Normal))</f>
        <v>1.5</v>
      </c>
      <c r="K447" s="100"/>
      <c r="L447" s="44" t="str">
        <f t="shared" ref="L447:L455" ca="1" si="335">IF(O447&gt;1,"Total","")</f>
        <v>Total</v>
      </c>
      <c r="M447" s="46">
        <f t="shared" ref="M447:M455" ca="1" si="336">IF(O447&gt;1,Label_Scl_Aggr_Parent,IF(O447&lt;1,Label_Scl_Aggr_Child,Label_Scl_Normal))</f>
        <v>1.25</v>
      </c>
      <c r="N447" s="46"/>
      <c r="O447" s="41">
        <f t="shared" ca="1" si="325"/>
        <v>3</v>
      </c>
      <c r="Q447" s="44"/>
      <c r="S447" s="48">
        <f t="shared" si="254"/>
        <v>0</v>
      </c>
      <c r="T447" s="48">
        <f t="shared" ca="1" si="319"/>
        <v>1460000</v>
      </c>
      <c r="W447" s="28">
        <v>254</v>
      </c>
      <c r="X447" s="105">
        <v>1.45</v>
      </c>
      <c r="Y447" s="105">
        <v>9.66</v>
      </c>
      <c r="Z447" s="73" t="s">
        <v>776</v>
      </c>
      <c r="AA447" s="28"/>
    </row>
    <row r="448" spans="1:27" x14ac:dyDescent="0.25">
      <c r="A448" s="4"/>
      <c r="B448" s="98" t="s">
        <v>1466</v>
      </c>
      <c r="C448" s="75" t="s">
        <v>1465</v>
      </c>
      <c r="D448" s="28" t="s">
        <v>785</v>
      </c>
      <c r="E448" s="28">
        <f t="shared" ref="E448:E450" si="337">RIGHT(TRIM(D448),5)*1</f>
        <v>92123</v>
      </c>
      <c r="F448" s="143" t="str">
        <f>INDEX(PV_Summary!$B$18:$B$118,MATCH($E448,PV_Summary!$A$18:$A$118,0))</f>
        <v>S</v>
      </c>
      <c r="G448" s="123">
        <v>32.828710000000001</v>
      </c>
      <c r="H448" s="61">
        <v>-117.130291</v>
      </c>
      <c r="I448" s="44" t="s">
        <v>3</v>
      </c>
      <c r="J448" s="46">
        <f t="shared" si="334"/>
        <v>0.75</v>
      </c>
      <c r="K448" s="100"/>
      <c r="L448" s="44" t="str">
        <f t="shared" si="335"/>
        <v/>
      </c>
      <c r="M448" s="46">
        <f t="shared" si="336"/>
        <v>0.75</v>
      </c>
      <c r="N448" s="46"/>
      <c r="O448" s="41">
        <f t="shared" si="325"/>
        <v>0</v>
      </c>
      <c r="P448" s="42">
        <v>176000</v>
      </c>
      <c r="Q448" s="44" t="s">
        <v>3</v>
      </c>
      <c r="R448" s="28" t="s">
        <v>55</v>
      </c>
      <c r="S448" s="48">
        <f t="shared" si="254"/>
        <v>1232000</v>
      </c>
      <c r="T448" s="48">
        <f t="shared" si="319"/>
        <v>0</v>
      </c>
      <c r="W448" s="28">
        <v>254</v>
      </c>
      <c r="X448" s="105">
        <v>1.45</v>
      </c>
      <c r="Y448" s="105">
        <v>9.66</v>
      </c>
      <c r="Z448" s="73" t="s">
        <v>776</v>
      </c>
      <c r="AA448" s="28">
        <v>0</v>
      </c>
    </row>
    <row r="449" spans="1:27" x14ac:dyDescent="0.25">
      <c r="A449" s="4"/>
      <c r="B449" s="98" t="s">
        <v>1467</v>
      </c>
      <c r="C449" s="75" t="s">
        <v>1465</v>
      </c>
      <c r="D449" s="28" t="s">
        <v>785</v>
      </c>
      <c r="E449" s="28">
        <f t="shared" si="337"/>
        <v>92123</v>
      </c>
      <c r="F449" s="143" t="str">
        <f>INDEX(PV_Summary!$B$18:$B$118,MATCH($E449,PV_Summary!$A$18:$A$118,0))</f>
        <v>S</v>
      </c>
      <c r="G449" s="123">
        <v>32.827835999999998</v>
      </c>
      <c r="H449" s="61">
        <v>-117.13039499999999</v>
      </c>
      <c r="I449" s="44" t="s">
        <v>37</v>
      </c>
      <c r="J449" s="46">
        <f t="shared" si="334"/>
        <v>0.75</v>
      </c>
      <c r="K449" s="100"/>
      <c r="L449" s="44" t="str">
        <f t="shared" si="335"/>
        <v/>
      </c>
      <c r="M449" s="46">
        <f t="shared" si="336"/>
        <v>0.75</v>
      </c>
      <c r="N449" s="46"/>
      <c r="O449" s="41">
        <f t="shared" si="325"/>
        <v>0</v>
      </c>
      <c r="P449" s="42">
        <v>38000</v>
      </c>
      <c r="Q449" s="44" t="s">
        <v>37</v>
      </c>
      <c r="R449" s="28" t="s">
        <v>56</v>
      </c>
      <c r="S449" s="48">
        <f t="shared" si="254"/>
        <v>228000</v>
      </c>
      <c r="T449" s="48">
        <f t="shared" si="319"/>
        <v>0</v>
      </c>
      <c r="W449" s="28">
        <v>254</v>
      </c>
      <c r="X449" s="105">
        <v>1.45</v>
      </c>
      <c r="Y449" s="105">
        <v>9.66</v>
      </c>
      <c r="Z449" s="73" t="s">
        <v>776</v>
      </c>
      <c r="AA449" s="28">
        <v>0</v>
      </c>
    </row>
    <row r="450" spans="1:27" x14ac:dyDescent="0.25">
      <c r="A450" s="4"/>
      <c r="B450" s="62" t="s">
        <v>1470</v>
      </c>
      <c r="C450" s="75" t="s">
        <v>1475</v>
      </c>
      <c r="D450" s="28" t="s">
        <v>785</v>
      </c>
      <c r="E450" s="28">
        <f t="shared" si="337"/>
        <v>92123</v>
      </c>
      <c r="F450" s="143" t="str">
        <f>INDEX(PV_Summary!$B$18:$B$118,MATCH($E450,PV_Summary!$A$18:$A$118,0))</f>
        <v>S</v>
      </c>
      <c r="G450" s="123">
        <v>32.825248000000002</v>
      </c>
      <c r="H450" s="61">
        <v>-117.14045900000001</v>
      </c>
      <c r="I450" s="44" t="s">
        <v>69</v>
      </c>
      <c r="J450" s="46">
        <f t="shared" ca="1" si="334"/>
        <v>1.5</v>
      </c>
      <c r="K450" s="100"/>
      <c r="L450" s="44" t="str">
        <f t="shared" ca="1" si="335"/>
        <v>Total</v>
      </c>
      <c r="M450" s="46">
        <f t="shared" ca="1" si="336"/>
        <v>1.25</v>
      </c>
      <c r="N450" s="46"/>
      <c r="O450" s="41">
        <f t="shared" ca="1" si="325"/>
        <v>5</v>
      </c>
      <c r="Q450" s="44"/>
      <c r="S450" s="48">
        <f t="shared" si="254"/>
        <v>0</v>
      </c>
      <c r="T450" s="48">
        <f t="shared" ca="1" si="319"/>
        <v>2219000</v>
      </c>
      <c r="W450" s="28">
        <v>1286</v>
      </c>
      <c r="X450" s="105">
        <v>1.76</v>
      </c>
      <c r="Y450" s="105">
        <v>11.75</v>
      </c>
      <c r="Z450" s="73" t="s">
        <v>777</v>
      </c>
      <c r="AA450" s="28"/>
    </row>
    <row r="451" spans="1:27" x14ac:dyDescent="0.25">
      <c r="A451" s="4"/>
      <c r="B451" s="98" t="s">
        <v>1471</v>
      </c>
      <c r="C451" s="75" t="s">
        <v>1475</v>
      </c>
      <c r="D451" s="28" t="s">
        <v>785</v>
      </c>
      <c r="E451" s="28">
        <f t="shared" ref="E451:E454" si="338">RIGHT(TRIM(D451),5)*1</f>
        <v>92123</v>
      </c>
      <c r="F451" s="143" t="str">
        <f>INDEX(PV_Summary!$B$18:$B$118,MATCH($E451,PV_Summary!$A$18:$A$118,0))</f>
        <v>S</v>
      </c>
      <c r="G451" s="123">
        <v>32.825614000000002</v>
      </c>
      <c r="H451" s="61">
        <v>-117.140407</v>
      </c>
      <c r="I451" s="44" t="s">
        <v>37</v>
      </c>
      <c r="J451" s="46">
        <f t="shared" si="334"/>
        <v>0.75</v>
      </c>
      <c r="K451" s="100"/>
      <c r="L451" s="44" t="str">
        <f t="shared" si="335"/>
        <v/>
      </c>
      <c r="M451" s="46">
        <f t="shared" si="336"/>
        <v>0.75</v>
      </c>
      <c r="N451" s="46"/>
      <c r="O451" s="41">
        <f t="shared" si="325"/>
        <v>0</v>
      </c>
      <c r="P451" s="42">
        <v>17000</v>
      </c>
      <c r="Q451" s="44" t="s">
        <v>37</v>
      </c>
      <c r="R451" s="28" t="s">
        <v>55</v>
      </c>
      <c r="S451" s="48">
        <f t="shared" si="254"/>
        <v>119000</v>
      </c>
      <c r="T451" s="48">
        <f t="shared" si="319"/>
        <v>0</v>
      </c>
      <c r="W451" s="28">
        <v>1286</v>
      </c>
      <c r="X451" s="105">
        <v>1.76</v>
      </c>
      <c r="Y451" s="105">
        <v>11.75</v>
      </c>
      <c r="Z451" s="73" t="s">
        <v>777</v>
      </c>
      <c r="AA451" s="28">
        <v>200</v>
      </c>
    </row>
    <row r="452" spans="1:27" x14ac:dyDescent="0.25">
      <c r="A452" s="4"/>
      <c r="B452" s="98" t="s">
        <v>1474</v>
      </c>
      <c r="C452" s="75" t="s">
        <v>1475</v>
      </c>
      <c r="D452" s="28" t="s">
        <v>785</v>
      </c>
      <c r="E452" s="28">
        <f t="shared" si="338"/>
        <v>92123</v>
      </c>
      <c r="F452" s="143" t="str">
        <f>INDEX(PV_Summary!$B$18:$B$118,MATCH($E452,PV_Summary!$A$18:$A$118,0))</f>
        <v>S</v>
      </c>
      <c r="G452" s="123">
        <v>32.824919999999999</v>
      </c>
      <c r="H452" s="61">
        <v>-117.140435</v>
      </c>
      <c r="I452" s="44" t="s">
        <v>37</v>
      </c>
      <c r="J452" s="46">
        <f t="shared" si="334"/>
        <v>0.75</v>
      </c>
      <c r="K452" s="100"/>
      <c r="L452" s="44" t="str">
        <f t="shared" si="335"/>
        <v/>
      </c>
      <c r="M452" s="46">
        <f t="shared" si="336"/>
        <v>0.75</v>
      </c>
      <c r="N452" s="46"/>
      <c r="O452" s="41">
        <f t="shared" si="325"/>
        <v>0</v>
      </c>
      <c r="P452" s="42">
        <v>16000</v>
      </c>
      <c r="Q452" s="44" t="s">
        <v>37</v>
      </c>
      <c r="R452" s="28" t="s">
        <v>55</v>
      </c>
      <c r="S452" s="48">
        <f t="shared" si="254"/>
        <v>112000</v>
      </c>
      <c r="T452" s="48">
        <f t="shared" si="319"/>
        <v>0</v>
      </c>
      <c r="W452" s="28">
        <v>1286</v>
      </c>
      <c r="X452" s="105">
        <v>1.76</v>
      </c>
      <c r="Y452" s="105">
        <v>11.75</v>
      </c>
      <c r="Z452" s="73" t="s">
        <v>777</v>
      </c>
      <c r="AA452" s="28">
        <v>500</v>
      </c>
    </row>
    <row r="453" spans="1:27" x14ac:dyDescent="0.25">
      <c r="A453" s="4"/>
      <c r="B453" s="98" t="s">
        <v>1472</v>
      </c>
      <c r="C453" s="75" t="s">
        <v>1475</v>
      </c>
      <c r="D453" s="28" t="s">
        <v>785</v>
      </c>
      <c r="E453" s="28">
        <f t="shared" si="338"/>
        <v>92123</v>
      </c>
      <c r="F453" s="143" t="str">
        <f>INDEX(PV_Summary!$B$18:$B$118,MATCH($E453,PV_Summary!$A$18:$A$118,0))</f>
        <v>S</v>
      </c>
      <c r="G453" s="123">
        <v>32.824773999999998</v>
      </c>
      <c r="H453" s="61">
        <v>-117.14154600000001</v>
      </c>
      <c r="I453" s="44" t="s">
        <v>3</v>
      </c>
      <c r="J453" s="46">
        <f t="shared" si="334"/>
        <v>0.75</v>
      </c>
      <c r="K453" s="100"/>
      <c r="L453" s="44" t="str">
        <f t="shared" si="335"/>
        <v/>
      </c>
      <c r="M453" s="46">
        <f t="shared" si="336"/>
        <v>0.75</v>
      </c>
      <c r="N453" s="46"/>
      <c r="O453" s="41">
        <f t="shared" si="325"/>
        <v>0</v>
      </c>
      <c r="P453" s="42">
        <v>177000</v>
      </c>
      <c r="Q453" s="44" t="s">
        <v>3</v>
      </c>
      <c r="R453" s="28" t="s">
        <v>55</v>
      </c>
      <c r="S453" s="48">
        <f t="shared" si="254"/>
        <v>1239000</v>
      </c>
      <c r="T453" s="48">
        <f t="shared" si="319"/>
        <v>0</v>
      </c>
      <c r="W453" s="28">
        <v>1286</v>
      </c>
      <c r="X453" s="105">
        <v>1.76</v>
      </c>
      <c r="Y453" s="105">
        <v>11.75</v>
      </c>
      <c r="Z453" s="73" t="s">
        <v>777</v>
      </c>
      <c r="AA453" s="28">
        <v>0</v>
      </c>
    </row>
    <row r="454" spans="1:27" x14ac:dyDescent="0.25">
      <c r="A454" s="4"/>
      <c r="B454" s="98" t="s">
        <v>1473</v>
      </c>
      <c r="C454" s="75" t="s">
        <v>1475</v>
      </c>
      <c r="D454" s="28" t="s">
        <v>785</v>
      </c>
      <c r="E454" s="28">
        <f t="shared" si="338"/>
        <v>92123</v>
      </c>
      <c r="F454" s="143" t="str">
        <f>INDEX(PV_Summary!$B$18:$B$118,MATCH($E454,PV_Summary!$A$18:$A$118,0))</f>
        <v>S</v>
      </c>
      <c r="G454" s="123">
        <v>32.824787000000001</v>
      </c>
      <c r="H454" s="61">
        <v>-117.139866</v>
      </c>
      <c r="I454" s="99" t="s">
        <v>3</v>
      </c>
      <c r="J454" s="46">
        <f t="shared" si="334"/>
        <v>0.75</v>
      </c>
      <c r="K454" s="100"/>
      <c r="L454" s="44" t="str">
        <f t="shared" si="335"/>
        <v/>
      </c>
      <c r="M454" s="46">
        <f t="shared" si="336"/>
        <v>0.75</v>
      </c>
      <c r="N454" s="46"/>
      <c r="O454" s="41">
        <f t="shared" si="325"/>
        <v>0</v>
      </c>
      <c r="P454" s="42">
        <v>107000</v>
      </c>
      <c r="Q454" s="99" t="s">
        <v>3</v>
      </c>
      <c r="R454" s="28" t="s">
        <v>55</v>
      </c>
      <c r="S454" s="48">
        <f t="shared" si="254"/>
        <v>749000</v>
      </c>
      <c r="T454" s="48">
        <f t="shared" si="319"/>
        <v>0</v>
      </c>
      <c r="W454" s="28">
        <v>1286</v>
      </c>
      <c r="X454" s="105">
        <v>1.76</v>
      </c>
      <c r="Y454" s="105">
        <v>11.75</v>
      </c>
      <c r="Z454" s="73" t="s">
        <v>777</v>
      </c>
      <c r="AA454" s="28">
        <v>500</v>
      </c>
    </row>
    <row r="455" spans="1:27" x14ac:dyDescent="0.25">
      <c r="A455" s="4"/>
      <c r="B455" s="62" t="s">
        <v>792</v>
      </c>
      <c r="C455" s="75" t="s">
        <v>793</v>
      </c>
      <c r="D455" s="28" t="s">
        <v>785</v>
      </c>
      <c r="E455" s="28">
        <f t="shared" si="333"/>
        <v>92123</v>
      </c>
      <c r="F455" s="143" t="str">
        <f>INDEX(PV_Summary!$B$18:$B$118,MATCH($E455,PV_Summary!$A$18:$A$118,0))</f>
        <v>S</v>
      </c>
      <c r="G455" s="123">
        <v>32.814155</v>
      </c>
      <c r="H455" s="61">
        <v>-117.124645</v>
      </c>
      <c r="I455" s="44" t="s">
        <v>37</v>
      </c>
      <c r="J455" s="46">
        <f t="shared" ca="1" si="334"/>
        <v>1</v>
      </c>
      <c r="K455" s="100"/>
      <c r="L455" s="44" t="str">
        <f t="shared" ca="1" si="335"/>
        <v/>
      </c>
      <c r="M455" s="46">
        <f t="shared" ca="1" si="336"/>
        <v>1</v>
      </c>
      <c r="N455" s="46"/>
      <c r="O455" s="41">
        <f t="shared" ca="1" si="325"/>
        <v>1</v>
      </c>
      <c r="P455" s="42">
        <v>385000</v>
      </c>
      <c r="Q455" s="44" t="s">
        <v>37</v>
      </c>
      <c r="R455" s="28" t="s">
        <v>55</v>
      </c>
      <c r="S455" s="48">
        <f t="shared" si="254"/>
        <v>2695000</v>
      </c>
      <c r="T455" s="48">
        <f t="shared" ca="1" si="319"/>
        <v>2695000</v>
      </c>
      <c r="W455" s="28">
        <v>706</v>
      </c>
      <c r="X455" s="105">
        <v>1.36</v>
      </c>
      <c r="Y455" s="105">
        <v>9.06</v>
      </c>
      <c r="Z455" s="73" t="s">
        <v>955</v>
      </c>
      <c r="AA455" s="28">
        <v>200</v>
      </c>
    </row>
    <row r="456" spans="1:27" x14ac:dyDescent="0.25">
      <c r="A456" s="4"/>
      <c r="B456" s="62" t="s">
        <v>794</v>
      </c>
      <c r="C456" s="75" t="s">
        <v>795</v>
      </c>
      <c r="D456" s="28" t="s">
        <v>785</v>
      </c>
      <c r="E456" s="28">
        <f t="shared" si="333"/>
        <v>92123</v>
      </c>
      <c r="F456" s="143" t="str">
        <f>INDEX(PV_Summary!$B$18:$B$118,MATCH($E456,PV_Summary!$A$18:$A$118,0))</f>
        <v>S</v>
      </c>
      <c r="G456" s="123">
        <v>32.813541000000001</v>
      </c>
      <c r="H456" s="61">
        <v>-117.123402</v>
      </c>
      <c r="I456" s="44" t="s">
        <v>210</v>
      </c>
      <c r="J456" s="46">
        <f t="shared" ref="J456:J461" ca="1" si="339">IF(O456&gt;1,Sym_Scl_Aggr_Parent,IF(O456&lt;1,Sym_Scl_Aggr_Child,Sym_Scl_Normal))</f>
        <v>1</v>
      </c>
      <c r="K456" s="100" t="s">
        <v>157</v>
      </c>
      <c r="L456" s="44" t="str">
        <f t="shared" ref="L456:L461" ca="1" si="340">IF(O456&gt;1,"Total","")</f>
        <v/>
      </c>
      <c r="M456" s="46">
        <f t="shared" ref="M456:M461" ca="1" si="341">IF(O456&gt;1,Label_Scl_Aggr_Parent,IF(O456&lt;1,Label_Scl_Aggr_Child,Label_Scl_Normal))</f>
        <v>1</v>
      </c>
      <c r="N456" s="46"/>
      <c r="O456" s="41">
        <f t="shared" ca="1" si="325"/>
        <v>1</v>
      </c>
      <c r="Q456" s="44" t="s">
        <v>172</v>
      </c>
      <c r="S456" s="48">
        <f t="shared" si="254"/>
        <v>0</v>
      </c>
      <c r="T456" s="48">
        <f t="shared" ca="1" si="319"/>
        <v>0</v>
      </c>
      <c r="W456" s="28"/>
      <c r="X456" s="105"/>
      <c r="Y456" s="105"/>
      <c r="Z456" s="73"/>
      <c r="AA456" s="28"/>
    </row>
    <row r="457" spans="1:27" x14ac:dyDescent="0.25">
      <c r="A457" s="4"/>
      <c r="B457" s="62" t="s">
        <v>796</v>
      </c>
      <c r="C457" s="75" t="s">
        <v>797</v>
      </c>
      <c r="D457" s="28" t="s">
        <v>785</v>
      </c>
      <c r="E457" s="28">
        <f t="shared" si="333"/>
        <v>92123</v>
      </c>
      <c r="F457" s="143" t="str">
        <f>INDEX(PV_Summary!$B$18:$B$118,MATCH($E457,PV_Summary!$A$18:$A$118,0))</f>
        <v>S</v>
      </c>
      <c r="G457" s="123">
        <v>32.805791999999997</v>
      </c>
      <c r="H457" s="61">
        <v>-117.119888</v>
      </c>
      <c r="I457" s="44" t="s">
        <v>63</v>
      </c>
      <c r="J457" s="46">
        <f t="shared" ca="1" si="339"/>
        <v>1.5</v>
      </c>
      <c r="K457" s="100"/>
      <c r="L457" s="44" t="str">
        <f t="shared" ca="1" si="340"/>
        <v>Total</v>
      </c>
      <c r="M457" s="46">
        <f t="shared" ca="1" si="341"/>
        <v>1.25</v>
      </c>
      <c r="N457" s="46"/>
      <c r="O457" s="41">
        <f t="shared" ca="1" si="325"/>
        <v>5</v>
      </c>
      <c r="Q457" s="44"/>
      <c r="S457" s="48">
        <f t="shared" si="254"/>
        <v>0</v>
      </c>
      <c r="T457" s="48">
        <f t="shared" ref="T457:T488" ca="1" si="342">SUMIF($C:$C,$C457,$S:$S)*IF($O457&gt;=1,1,0)</f>
        <v>1855420</v>
      </c>
      <c r="W457" s="28">
        <v>706</v>
      </c>
      <c r="X457" s="105">
        <v>1.36</v>
      </c>
      <c r="Y457" s="105">
        <v>9.06</v>
      </c>
      <c r="Z457" s="73" t="s">
        <v>955</v>
      </c>
      <c r="AA457" s="28"/>
    </row>
    <row r="458" spans="1:27" x14ac:dyDescent="0.25">
      <c r="A458" s="4"/>
      <c r="B458" s="98" t="s">
        <v>798</v>
      </c>
      <c r="C458" s="75" t="s">
        <v>797</v>
      </c>
      <c r="D458" s="28" t="s">
        <v>785</v>
      </c>
      <c r="E458" s="28">
        <f t="shared" si="333"/>
        <v>92123</v>
      </c>
      <c r="F458" s="143" t="str">
        <f>INDEX(PV_Summary!$B$18:$B$118,MATCH($E458,PV_Summary!$A$18:$A$118,0))</f>
        <v>S</v>
      </c>
      <c r="G458" s="123">
        <v>32.805591999999997</v>
      </c>
      <c r="H458" s="61">
        <v>-117.12035299999999</v>
      </c>
      <c r="I458" s="44" t="s">
        <v>37</v>
      </c>
      <c r="J458" s="46">
        <f t="shared" si="339"/>
        <v>0.75</v>
      </c>
      <c r="K458" s="100"/>
      <c r="L458" s="44" t="str">
        <f t="shared" si="340"/>
        <v/>
      </c>
      <c r="M458" s="46">
        <f t="shared" si="341"/>
        <v>0.75</v>
      </c>
      <c r="N458" s="46"/>
      <c r="O458" s="41">
        <f t="shared" si="325"/>
        <v>0</v>
      </c>
      <c r="P458" s="42">
        <f>18000-1100</f>
        <v>16900</v>
      </c>
      <c r="Q458" s="44" t="s">
        <v>37</v>
      </c>
      <c r="R458" s="28" t="s">
        <v>55</v>
      </c>
      <c r="S458" s="48">
        <f t="shared" si="254"/>
        <v>118300</v>
      </c>
      <c r="T458" s="48">
        <f t="shared" si="342"/>
        <v>0</v>
      </c>
      <c r="W458" s="28">
        <v>706</v>
      </c>
      <c r="X458" s="105">
        <v>1.36</v>
      </c>
      <c r="Y458" s="105">
        <v>9.06</v>
      </c>
      <c r="Z458" s="73" t="s">
        <v>955</v>
      </c>
      <c r="AA458" s="28">
        <v>0</v>
      </c>
    </row>
    <row r="459" spans="1:27" x14ac:dyDescent="0.25">
      <c r="A459" s="4"/>
      <c r="B459" s="98" t="s">
        <v>799</v>
      </c>
      <c r="C459" s="75" t="s">
        <v>797</v>
      </c>
      <c r="D459" s="28" t="s">
        <v>785</v>
      </c>
      <c r="E459" s="28">
        <f>RIGHT(TRIM(D459),5)*1</f>
        <v>92123</v>
      </c>
      <c r="F459" s="143" t="str">
        <f>INDEX(PV_Summary!$B$18:$B$118,MATCH($E459,PV_Summary!$A$18:$A$118,0))</f>
        <v>S</v>
      </c>
      <c r="G459" s="123">
        <v>32.805318999999997</v>
      </c>
      <c r="H459" s="61">
        <v>-117.11985799999999</v>
      </c>
      <c r="I459" s="44" t="s">
        <v>37</v>
      </c>
      <c r="J459" s="46">
        <f t="shared" si="339"/>
        <v>0.75</v>
      </c>
      <c r="K459" s="100"/>
      <c r="L459" s="44" t="str">
        <f t="shared" si="340"/>
        <v/>
      </c>
      <c r="M459" s="46">
        <f t="shared" si="341"/>
        <v>0.75</v>
      </c>
      <c r="N459" s="46"/>
      <c r="O459" s="41">
        <f t="shared" si="325"/>
        <v>0</v>
      </c>
      <c r="P459" s="42">
        <f>18000-840</f>
        <v>17160</v>
      </c>
      <c r="Q459" s="44" t="s">
        <v>37</v>
      </c>
      <c r="R459" s="28" t="s">
        <v>55</v>
      </c>
      <c r="S459" s="48">
        <f t="shared" si="254"/>
        <v>120120</v>
      </c>
      <c r="T459" s="48">
        <f t="shared" si="342"/>
        <v>0</v>
      </c>
      <c r="W459" s="28">
        <v>706</v>
      </c>
      <c r="X459" s="105">
        <v>1.36</v>
      </c>
      <c r="Y459" s="105">
        <v>9.06</v>
      </c>
      <c r="Z459" s="73" t="s">
        <v>955</v>
      </c>
      <c r="AA459" s="28">
        <v>0</v>
      </c>
    </row>
    <row r="460" spans="1:27" x14ac:dyDescent="0.25">
      <c r="A460" s="4"/>
      <c r="B460" s="98" t="s">
        <v>800</v>
      </c>
      <c r="C460" s="75" t="s">
        <v>797</v>
      </c>
      <c r="D460" s="28" t="s">
        <v>785</v>
      </c>
      <c r="E460" s="28">
        <f>RIGHT(TRIM(D460),5)*1</f>
        <v>92123</v>
      </c>
      <c r="F460" s="143" t="str">
        <f>INDEX(PV_Summary!$B$18:$B$118,MATCH($E460,PV_Summary!$A$18:$A$118,0))</f>
        <v>S</v>
      </c>
      <c r="G460" s="123">
        <v>32.805325000000003</v>
      </c>
      <c r="H460" s="61">
        <v>-117.119035</v>
      </c>
      <c r="I460" s="44" t="s">
        <v>3</v>
      </c>
      <c r="J460" s="46">
        <f t="shared" si="339"/>
        <v>0.75</v>
      </c>
      <c r="K460" s="100"/>
      <c r="L460" s="44" t="str">
        <f t="shared" si="340"/>
        <v/>
      </c>
      <c r="M460" s="46">
        <f t="shared" si="341"/>
        <v>0.75</v>
      </c>
      <c r="N460" s="46"/>
      <c r="O460" s="41">
        <f t="shared" si="325"/>
        <v>0</v>
      </c>
      <c r="P460" s="42">
        <v>175000</v>
      </c>
      <c r="Q460" s="44" t="s">
        <v>3</v>
      </c>
      <c r="R460" s="28" t="s">
        <v>55</v>
      </c>
      <c r="S460" s="48">
        <f t="shared" si="254"/>
        <v>1225000</v>
      </c>
      <c r="T460" s="48">
        <f t="shared" si="342"/>
        <v>0</v>
      </c>
      <c r="W460" s="28">
        <v>706</v>
      </c>
      <c r="X460" s="105">
        <v>1.36</v>
      </c>
      <c r="Y460" s="105">
        <v>9.06</v>
      </c>
      <c r="Z460" s="73" t="s">
        <v>955</v>
      </c>
      <c r="AA460" s="28">
        <v>200</v>
      </c>
    </row>
    <row r="461" spans="1:27" x14ac:dyDescent="0.25">
      <c r="A461" s="4"/>
      <c r="B461" s="98" t="s">
        <v>801</v>
      </c>
      <c r="C461" s="75" t="s">
        <v>797</v>
      </c>
      <c r="D461" s="28" t="s">
        <v>785</v>
      </c>
      <c r="E461" s="28">
        <f>RIGHT(TRIM(D461),5)*1</f>
        <v>92123</v>
      </c>
      <c r="F461" s="143" t="str">
        <f>INDEX(PV_Summary!$B$18:$B$118,MATCH($E461,PV_Summary!$A$18:$A$118,0))</f>
        <v>S</v>
      </c>
      <c r="G461" s="123">
        <v>32.804229999999997</v>
      </c>
      <c r="H461" s="61">
        <v>-117.12084</v>
      </c>
      <c r="I461" s="44" t="s">
        <v>36</v>
      </c>
      <c r="J461" s="46">
        <f t="shared" si="339"/>
        <v>0.75</v>
      </c>
      <c r="K461" s="100"/>
      <c r="L461" s="44" t="str">
        <f t="shared" si="340"/>
        <v/>
      </c>
      <c r="M461" s="46">
        <f t="shared" si="341"/>
        <v>0.75</v>
      </c>
      <c r="N461" s="46"/>
      <c r="O461" s="41">
        <f t="shared" si="325"/>
        <v>0</v>
      </c>
      <c r="P461" s="42">
        <v>56000</v>
      </c>
      <c r="Q461" s="44" t="s">
        <v>36</v>
      </c>
      <c r="R461" s="28" t="s">
        <v>55</v>
      </c>
      <c r="S461" s="48">
        <f t="shared" si="254"/>
        <v>392000</v>
      </c>
      <c r="T461" s="48">
        <f t="shared" si="342"/>
        <v>0</v>
      </c>
      <c r="W461" s="28">
        <v>706</v>
      </c>
      <c r="X461" s="105">
        <v>1.36</v>
      </c>
      <c r="Y461" s="105">
        <v>9.06</v>
      </c>
      <c r="Z461" s="73" t="s">
        <v>955</v>
      </c>
      <c r="AA461" s="28">
        <v>0</v>
      </c>
    </row>
    <row r="462" spans="1:27" x14ac:dyDescent="0.25">
      <c r="A462" s="4"/>
      <c r="B462" s="62" t="s">
        <v>802</v>
      </c>
      <c r="C462" s="75" t="s">
        <v>803</v>
      </c>
      <c r="D462" s="28" t="s">
        <v>785</v>
      </c>
      <c r="E462" s="28">
        <f>RIGHT(TRIM(D462),5)*1</f>
        <v>92123</v>
      </c>
      <c r="F462" s="143" t="str">
        <f>INDEX(PV_Summary!$B$18:$B$118,MATCH($E462,PV_Summary!$A$18:$A$118,0))</f>
        <v>S</v>
      </c>
      <c r="G462" s="123">
        <v>32.805807999999999</v>
      </c>
      <c r="H462" s="61">
        <v>-117.11675200000001</v>
      </c>
      <c r="I462" s="44" t="s">
        <v>62</v>
      </c>
      <c r="J462" s="46">
        <f t="shared" ref="J462:J468" ca="1" si="343">IF(O462&gt;1,Sym_Scl_Aggr_Parent,IF(O462&lt;1,Sym_Scl_Aggr_Child,Sym_Scl_Normal))</f>
        <v>1.5</v>
      </c>
      <c r="K462" s="100"/>
      <c r="L462" s="44" t="str">
        <f t="shared" ref="L462:L468" ca="1" si="344">IF(O462&gt;1,"Total","")</f>
        <v>Total</v>
      </c>
      <c r="M462" s="46">
        <f t="shared" ref="M462:M468" ca="1" si="345">IF(O462&gt;1,Label_Scl_Aggr_Parent,IF(O462&lt;1,Label_Scl_Aggr_Child,Label_Scl_Normal))</f>
        <v>1.25</v>
      </c>
      <c r="N462" s="46"/>
      <c r="O462" s="41">
        <f t="shared" ca="1" si="325"/>
        <v>6</v>
      </c>
      <c r="Q462" s="44"/>
      <c r="S462" s="48">
        <f t="shared" si="254"/>
        <v>0</v>
      </c>
      <c r="T462" s="48">
        <f t="shared" ca="1" si="342"/>
        <v>3590000</v>
      </c>
      <c r="W462" s="28">
        <v>706</v>
      </c>
      <c r="X462" s="105">
        <v>1.36</v>
      </c>
      <c r="Y462" s="105">
        <v>9.06</v>
      </c>
      <c r="Z462" s="73" t="s">
        <v>955</v>
      </c>
      <c r="AA462" s="28"/>
    </row>
    <row r="463" spans="1:27" x14ac:dyDescent="0.25">
      <c r="A463" s="4"/>
      <c r="B463" s="98" t="s">
        <v>804</v>
      </c>
      <c r="C463" s="75" t="s">
        <v>803</v>
      </c>
      <c r="D463" s="28" t="s">
        <v>785</v>
      </c>
      <c r="E463" s="28">
        <f>RIGHT(TRIM(D463),5)*1</f>
        <v>92123</v>
      </c>
      <c r="F463" s="143" t="str">
        <f>INDEX(PV_Summary!$B$18:$B$118,MATCH($E463,PV_Summary!$A$18:$A$118,0))</f>
        <v>S</v>
      </c>
      <c r="G463" s="123">
        <v>32.807203000000001</v>
      </c>
      <c r="H463" s="61">
        <v>-117.11656000000001</v>
      </c>
      <c r="I463" s="44" t="s">
        <v>37</v>
      </c>
      <c r="J463" s="46">
        <f t="shared" si="343"/>
        <v>0.75</v>
      </c>
      <c r="K463" s="100"/>
      <c r="L463" s="44" t="str">
        <f t="shared" si="344"/>
        <v/>
      </c>
      <c r="M463" s="46">
        <f t="shared" si="345"/>
        <v>0.75</v>
      </c>
      <c r="N463" s="46"/>
      <c r="O463" s="41">
        <f t="shared" si="325"/>
        <v>0</v>
      </c>
      <c r="P463" s="42">
        <v>50000</v>
      </c>
      <c r="Q463" s="44" t="s">
        <v>37</v>
      </c>
      <c r="R463" s="28" t="s">
        <v>55</v>
      </c>
      <c r="S463" s="48">
        <f t="shared" si="254"/>
        <v>350000</v>
      </c>
      <c r="T463" s="48">
        <f t="shared" si="342"/>
        <v>0</v>
      </c>
      <c r="W463" s="28">
        <v>706</v>
      </c>
      <c r="X463" s="105">
        <v>1.36</v>
      </c>
      <c r="Y463" s="105">
        <v>9.06</v>
      </c>
      <c r="Z463" s="73" t="s">
        <v>955</v>
      </c>
      <c r="AA463" s="28">
        <v>0</v>
      </c>
    </row>
    <row r="464" spans="1:27" x14ac:dyDescent="0.25">
      <c r="A464" s="4"/>
      <c r="B464" s="98" t="s">
        <v>805</v>
      </c>
      <c r="C464" s="75" t="s">
        <v>803</v>
      </c>
      <c r="D464" s="28" t="s">
        <v>785</v>
      </c>
      <c r="E464" s="28">
        <f t="shared" ref="E464:E470" si="346">RIGHT(TRIM(D464),5)*1</f>
        <v>92123</v>
      </c>
      <c r="F464" s="143" t="str">
        <f>INDEX(PV_Summary!$B$18:$B$118,MATCH($E464,PV_Summary!$A$18:$A$118,0))</f>
        <v>S</v>
      </c>
      <c r="G464" s="123">
        <v>32.806355000000003</v>
      </c>
      <c r="H464" s="61">
        <v>-117.116435</v>
      </c>
      <c r="I464" s="44" t="s">
        <v>37</v>
      </c>
      <c r="J464" s="46">
        <f t="shared" si="343"/>
        <v>0.75</v>
      </c>
      <c r="K464" s="100"/>
      <c r="L464" s="44" t="str">
        <f t="shared" si="344"/>
        <v/>
      </c>
      <c r="M464" s="46">
        <f t="shared" si="345"/>
        <v>0.75</v>
      </c>
      <c r="N464" s="46"/>
      <c r="O464" s="41">
        <f t="shared" si="325"/>
        <v>0</v>
      </c>
      <c r="P464" s="42">
        <v>36000</v>
      </c>
      <c r="Q464" s="44" t="s">
        <v>37</v>
      </c>
      <c r="R464" s="28" t="s">
        <v>56</v>
      </c>
      <c r="S464" s="48">
        <f t="shared" si="254"/>
        <v>216000</v>
      </c>
      <c r="T464" s="48">
        <f t="shared" si="342"/>
        <v>0</v>
      </c>
      <c r="W464" s="28">
        <v>706</v>
      </c>
      <c r="X464" s="105">
        <v>1.36</v>
      </c>
      <c r="Y464" s="105">
        <v>9.06</v>
      </c>
      <c r="Z464" s="73" t="s">
        <v>955</v>
      </c>
      <c r="AA464" s="28">
        <v>0</v>
      </c>
    </row>
    <row r="465" spans="1:27" x14ac:dyDescent="0.25">
      <c r="A465" s="4"/>
      <c r="B465" s="98" t="s">
        <v>505</v>
      </c>
      <c r="C465" s="75" t="s">
        <v>803</v>
      </c>
      <c r="D465" s="28" t="s">
        <v>785</v>
      </c>
      <c r="E465" s="28">
        <f t="shared" si="346"/>
        <v>92123</v>
      </c>
      <c r="F465" s="143" t="str">
        <f>INDEX(PV_Summary!$B$18:$B$118,MATCH($E465,PV_Summary!$A$18:$A$118,0))</f>
        <v>S</v>
      </c>
      <c r="G465" s="123">
        <v>32.805236000000001</v>
      </c>
      <c r="H465" s="61">
        <v>-117.116366</v>
      </c>
      <c r="I465" s="44" t="s">
        <v>210</v>
      </c>
      <c r="J465" s="46">
        <f t="shared" si="343"/>
        <v>0.75</v>
      </c>
      <c r="K465" s="100" t="s">
        <v>157</v>
      </c>
      <c r="L465" s="44" t="str">
        <f t="shared" si="344"/>
        <v/>
      </c>
      <c r="M465" s="46">
        <f t="shared" si="345"/>
        <v>0.75</v>
      </c>
      <c r="N465" s="46"/>
      <c r="O465" s="41">
        <f t="shared" si="325"/>
        <v>0</v>
      </c>
      <c r="Q465" s="44" t="s">
        <v>172</v>
      </c>
      <c r="S465" s="48">
        <f t="shared" si="254"/>
        <v>0</v>
      </c>
      <c r="T465" s="48">
        <f t="shared" si="342"/>
        <v>0</v>
      </c>
      <c r="W465" s="28"/>
      <c r="X465" s="105"/>
      <c r="Y465" s="105"/>
      <c r="Z465" s="73"/>
      <c r="AA465" s="28"/>
    </row>
    <row r="466" spans="1:27" x14ac:dyDescent="0.25">
      <c r="A466" s="4"/>
      <c r="B466" s="98" t="s">
        <v>806</v>
      </c>
      <c r="C466" s="75" t="s">
        <v>803</v>
      </c>
      <c r="D466" s="28" t="s">
        <v>785</v>
      </c>
      <c r="E466" s="28">
        <f t="shared" si="346"/>
        <v>92123</v>
      </c>
      <c r="F466" s="143" t="str">
        <f>INDEX(PV_Summary!$B$18:$B$118,MATCH($E466,PV_Summary!$A$18:$A$118,0))</f>
        <v>S</v>
      </c>
      <c r="G466" s="123">
        <v>32.80744</v>
      </c>
      <c r="H466" s="61">
        <v>-117.115634</v>
      </c>
      <c r="I466" s="44" t="s">
        <v>3</v>
      </c>
      <c r="J466" s="46">
        <f t="shared" si="343"/>
        <v>0.75</v>
      </c>
      <c r="K466" s="100"/>
      <c r="L466" s="44" t="str">
        <f t="shared" si="344"/>
        <v/>
      </c>
      <c r="M466" s="46">
        <f t="shared" si="345"/>
        <v>0.75</v>
      </c>
      <c r="N466" s="46"/>
      <c r="O466" s="41">
        <f t="shared" si="325"/>
        <v>0</v>
      </c>
      <c r="P466" s="42">
        <v>114000</v>
      </c>
      <c r="Q466" s="44" t="s">
        <v>3</v>
      </c>
      <c r="R466" s="28" t="s">
        <v>55</v>
      </c>
      <c r="S466" s="48">
        <f t="shared" si="254"/>
        <v>798000</v>
      </c>
      <c r="T466" s="48">
        <f t="shared" si="342"/>
        <v>0</v>
      </c>
      <c r="W466" s="28">
        <v>706</v>
      </c>
      <c r="X466" s="105">
        <v>1.36</v>
      </c>
      <c r="Y466" s="105">
        <v>9.06</v>
      </c>
      <c r="Z466" s="73" t="s">
        <v>955</v>
      </c>
      <c r="AA466" s="28">
        <v>100</v>
      </c>
    </row>
    <row r="467" spans="1:27" x14ac:dyDescent="0.25">
      <c r="A467" s="4"/>
      <c r="B467" s="98" t="s">
        <v>807</v>
      </c>
      <c r="C467" s="75" t="s">
        <v>803</v>
      </c>
      <c r="D467" s="28" t="s">
        <v>785</v>
      </c>
      <c r="E467" s="28">
        <f t="shared" si="346"/>
        <v>92123</v>
      </c>
      <c r="F467" s="143" t="str">
        <f>INDEX(PV_Summary!$B$18:$B$118,MATCH($E467,PV_Summary!$A$18:$A$118,0))</f>
        <v>S</v>
      </c>
      <c r="G467" s="123">
        <v>32.805849000000002</v>
      </c>
      <c r="H467" s="61">
        <v>-117.11524799999999</v>
      </c>
      <c r="I467" s="44" t="s">
        <v>3</v>
      </c>
      <c r="J467" s="46">
        <f t="shared" si="343"/>
        <v>0.75</v>
      </c>
      <c r="K467" s="100"/>
      <c r="L467" s="44" t="str">
        <f t="shared" si="344"/>
        <v/>
      </c>
      <c r="M467" s="46">
        <f t="shared" si="345"/>
        <v>0.75</v>
      </c>
      <c r="N467" s="46"/>
      <c r="O467" s="41">
        <f t="shared" si="325"/>
        <v>0</v>
      </c>
      <c r="P467" s="42">
        <v>318000</v>
      </c>
      <c r="Q467" s="44" t="s">
        <v>3</v>
      </c>
      <c r="R467" s="28" t="s">
        <v>55</v>
      </c>
      <c r="S467" s="48">
        <f t="shared" si="254"/>
        <v>2226000</v>
      </c>
      <c r="T467" s="48">
        <f t="shared" si="342"/>
        <v>0</v>
      </c>
      <c r="W467" s="28">
        <v>706</v>
      </c>
      <c r="X467" s="105">
        <v>1.36</v>
      </c>
      <c r="Y467" s="105">
        <v>9.06</v>
      </c>
      <c r="Z467" s="73" t="s">
        <v>955</v>
      </c>
      <c r="AA467" s="28">
        <v>100</v>
      </c>
    </row>
    <row r="468" spans="1:27" x14ac:dyDescent="0.25">
      <c r="A468" s="4"/>
      <c r="B468" s="62" t="s">
        <v>810</v>
      </c>
      <c r="C468" s="75" t="s">
        <v>811</v>
      </c>
      <c r="D468" s="28" t="s">
        <v>785</v>
      </c>
      <c r="E468" s="28">
        <f t="shared" si="346"/>
        <v>92123</v>
      </c>
      <c r="F468" s="143" t="str">
        <f>INDEX(PV_Summary!$B$18:$B$118,MATCH($E468,PV_Summary!$A$18:$A$118,0))</f>
        <v>S</v>
      </c>
      <c r="G468" s="123">
        <v>32.801890999999998</v>
      </c>
      <c r="H468" s="61">
        <v>-117.114633</v>
      </c>
      <c r="I468" s="44" t="s">
        <v>62</v>
      </c>
      <c r="J468" s="46">
        <f t="shared" ca="1" si="343"/>
        <v>1.5</v>
      </c>
      <c r="K468" s="100"/>
      <c r="L468" s="44" t="str">
        <f t="shared" ca="1" si="344"/>
        <v>Total</v>
      </c>
      <c r="M468" s="46">
        <f t="shared" ca="1" si="345"/>
        <v>1.25</v>
      </c>
      <c r="N468" s="46"/>
      <c r="O468" s="41">
        <f t="shared" ca="1" si="325"/>
        <v>3</v>
      </c>
      <c r="Q468" s="44"/>
      <c r="S468" s="48">
        <f t="shared" si="254"/>
        <v>0</v>
      </c>
      <c r="T468" s="48">
        <f t="shared" ca="1" si="342"/>
        <v>2723000</v>
      </c>
      <c r="W468" s="28">
        <v>706</v>
      </c>
      <c r="X468" s="105">
        <v>1.36</v>
      </c>
      <c r="Y468" s="105">
        <v>9.06</v>
      </c>
      <c r="Z468" s="73" t="s">
        <v>955</v>
      </c>
      <c r="AA468" s="28"/>
    </row>
    <row r="469" spans="1:27" x14ac:dyDescent="0.25">
      <c r="A469" s="4"/>
      <c r="B469" s="98" t="s">
        <v>809</v>
      </c>
      <c r="C469" s="75" t="s">
        <v>811</v>
      </c>
      <c r="D469" s="28" t="s">
        <v>785</v>
      </c>
      <c r="E469" s="28">
        <f t="shared" si="346"/>
        <v>92123</v>
      </c>
      <c r="F469" s="143" t="str">
        <f>INDEX(PV_Summary!$B$18:$B$118,MATCH($E469,PV_Summary!$A$18:$A$118,0))</f>
        <v>S</v>
      </c>
      <c r="G469" s="123">
        <v>32.801214000000002</v>
      </c>
      <c r="H469" s="61">
        <v>-117.114609</v>
      </c>
      <c r="I469" s="44" t="s">
        <v>37</v>
      </c>
      <c r="J469" s="46">
        <f t="shared" ref="J469:J474" si="347">IF(O469&gt;1,Sym_Scl_Aggr_Parent,IF(O469&lt;1,Sym_Scl_Aggr_Child,Sym_Scl_Normal))</f>
        <v>0.75</v>
      </c>
      <c r="K469" s="100"/>
      <c r="L469" s="44" t="str">
        <f t="shared" ref="L469:L474" si="348">IF(O469&gt;1,"Total","")</f>
        <v/>
      </c>
      <c r="M469" s="46">
        <f t="shared" ref="M469:M474" si="349">IF(O469&gt;1,Label_Scl_Aggr_Parent,IF(O469&lt;1,Label_Scl_Aggr_Child,Label_Scl_Normal))</f>
        <v>0.75</v>
      </c>
      <c r="N469" s="46"/>
      <c r="O469" s="41">
        <f t="shared" si="325"/>
        <v>0</v>
      </c>
      <c r="P469" s="42">
        <v>139000</v>
      </c>
      <c r="Q469" s="44" t="s">
        <v>37</v>
      </c>
      <c r="R469" s="28" t="s">
        <v>55</v>
      </c>
      <c r="S469" s="48">
        <f t="shared" si="254"/>
        <v>973000</v>
      </c>
      <c r="T469" s="48">
        <f t="shared" si="342"/>
        <v>0</v>
      </c>
      <c r="W469" s="28">
        <v>706</v>
      </c>
      <c r="X469" s="105">
        <v>1.36</v>
      </c>
      <c r="Y469" s="105">
        <v>9.06</v>
      </c>
      <c r="Z469" s="73" t="s">
        <v>955</v>
      </c>
      <c r="AA469" s="28">
        <v>50</v>
      </c>
    </row>
    <row r="470" spans="1:27" x14ac:dyDescent="0.25">
      <c r="A470" s="4"/>
      <c r="B470" s="98" t="s">
        <v>808</v>
      </c>
      <c r="C470" s="75" t="s">
        <v>811</v>
      </c>
      <c r="D470" s="28" t="s">
        <v>785</v>
      </c>
      <c r="E470" s="28">
        <f t="shared" si="346"/>
        <v>92123</v>
      </c>
      <c r="F470" s="143" t="str">
        <f>INDEX(PV_Summary!$B$18:$B$118,MATCH($E470,PV_Summary!$A$18:$A$118,0))</f>
        <v>S</v>
      </c>
      <c r="G470" s="123">
        <v>32.802720999999998</v>
      </c>
      <c r="H470" s="61">
        <v>-117.114794</v>
      </c>
      <c r="I470" s="44" t="s">
        <v>3</v>
      </c>
      <c r="J470" s="46">
        <f t="shared" si="347"/>
        <v>0.75</v>
      </c>
      <c r="K470" s="100"/>
      <c r="L470" s="44" t="str">
        <f t="shared" si="348"/>
        <v/>
      </c>
      <c r="M470" s="46">
        <f t="shared" si="349"/>
        <v>0.75</v>
      </c>
      <c r="N470" s="46"/>
      <c r="O470" s="41">
        <f t="shared" si="325"/>
        <v>0</v>
      </c>
      <c r="P470" s="42">
        <v>250000</v>
      </c>
      <c r="Q470" s="44" t="s">
        <v>3</v>
      </c>
      <c r="R470" s="28" t="s">
        <v>55</v>
      </c>
      <c r="S470" s="48">
        <f t="shared" si="254"/>
        <v>1750000</v>
      </c>
      <c r="T470" s="48">
        <f t="shared" si="342"/>
        <v>0</v>
      </c>
      <c r="W470" s="28">
        <v>706</v>
      </c>
      <c r="X470" s="105">
        <v>1.36</v>
      </c>
      <c r="Y470" s="105">
        <v>9.06</v>
      </c>
      <c r="Z470" s="73" t="s">
        <v>955</v>
      </c>
      <c r="AA470" s="28">
        <v>0</v>
      </c>
    </row>
    <row r="471" spans="1:27" x14ac:dyDescent="0.25">
      <c r="A471" s="4"/>
      <c r="B471" s="62" t="s">
        <v>1363</v>
      </c>
      <c r="C471" s="75" t="s">
        <v>1364</v>
      </c>
      <c r="D471" s="28" t="s">
        <v>785</v>
      </c>
      <c r="E471" s="28">
        <f t="shared" ref="E471:E473" si="350">RIGHT(TRIM(D471),5)*1</f>
        <v>92123</v>
      </c>
      <c r="F471" s="143" t="str">
        <f>INDEX(PV_Summary!$B$18:$B$118,MATCH($E471,PV_Summary!$A$18:$A$118,0))</f>
        <v>S</v>
      </c>
      <c r="G471" s="123">
        <v>32.795997</v>
      </c>
      <c r="H471" s="61">
        <v>-117.153598</v>
      </c>
      <c r="I471" s="44" t="s">
        <v>237</v>
      </c>
      <c r="J471" s="46">
        <f t="shared" ca="1" si="347"/>
        <v>1.5</v>
      </c>
      <c r="K471" s="100"/>
      <c r="L471" s="44" t="str">
        <f t="shared" ca="1" si="348"/>
        <v>Total</v>
      </c>
      <c r="M471" s="46">
        <f t="shared" ca="1" si="349"/>
        <v>1.25</v>
      </c>
      <c r="N471" s="46"/>
      <c r="O471" s="41">
        <f t="shared" ca="1" si="325"/>
        <v>3</v>
      </c>
      <c r="Q471" s="44"/>
      <c r="S471" s="48">
        <f t="shared" si="254"/>
        <v>0</v>
      </c>
      <c r="T471" s="48">
        <f t="shared" ca="1" si="342"/>
        <v>1274000</v>
      </c>
      <c r="W471" s="28">
        <v>60</v>
      </c>
      <c r="X471" s="105">
        <v>1.19</v>
      </c>
      <c r="Y471" s="105">
        <v>7.92</v>
      </c>
      <c r="Z471" s="73" t="s">
        <v>467</v>
      </c>
      <c r="AA471" s="28"/>
    </row>
    <row r="472" spans="1:27" x14ac:dyDescent="0.25">
      <c r="A472" s="4"/>
      <c r="B472" s="98" t="s">
        <v>1365</v>
      </c>
      <c r="C472" s="75" t="s">
        <v>1364</v>
      </c>
      <c r="D472" s="28" t="s">
        <v>785</v>
      </c>
      <c r="E472" s="28">
        <f t="shared" si="350"/>
        <v>92123</v>
      </c>
      <c r="F472" s="143" t="str">
        <f>INDEX(PV_Summary!$B$18:$B$118,MATCH($E472,PV_Summary!$A$18:$A$118,0))</f>
        <v>S</v>
      </c>
      <c r="G472" s="123">
        <v>32.796157000000001</v>
      </c>
      <c r="H472" s="61">
        <v>-117.15406</v>
      </c>
      <c r="I472" s="44" t="s">
        <v>37</v>
      </c>
      <c r="J472" s="46">
        <f t="shared" si="347"/>
        <v>0.75</v>
      </c>
      <c r="K472" s="100"/>
      <c r="L472" s="44" t="str">
        <f t="shared" si="348"/>
        <v/>
      </c>
      <c r="M472" s="46">
        <f t="shared" si="349"/>
        <v>0.75</v>
      </c>
      <c r="N472" s="46"/>
      <c r="O472" s="41">
        <f t="shared" si="325"/>
        <v>0</v>
      </c>
      <c r="P472" s="42">
        <v>32000</v>
      </c>
      <c r="Q472" s="44" t="s">
        <v>37</v>
      </c>
      <c r="R472" s="28" t="s">
        <v>55</v>
      </c>
      <c r="S472" s="48">
        <f t="shared" si="254"/>
        <v>224000</v>
      </c>
      <c r="T472" s="48">
        <f t="shared" si="342"/>
        <v>0</v>
      </c>
      <c r="W472" s="28">
        <v>60</v>
      </c>
      <c r="X472" s="105">
        <v>1.19</v>
      </c>
      <c r="Y472" s="105">
        <v>7.92</v>
      </c>
      <c r="Z472" s="73" t="s">
        <v>467</v>
      </c>
      <c r="AA472" s="28">
        <v>50</v>
      </c>
    </row>
    <row r="473" spans="1:27" x14ac:dyDescent="0.25">
      <c r="A473" s="4"/>
      <c r="B473" s="98" t="s">
        <v>1366</v>
      </c>
      <c r="C473" s="75" t="s">
        <v>1364</v>
      </c>
      <c r="D473" s="28" t="s">
        <v>785</v>
      </c>
      <c r="E473" s="28">
        <f t="shared" si="350"/>
        <v>92123</v>
      </c>
      <c r="F473" s="143" t="str">
        <f>INDEX(PV_Summary!$B$18:$B$118,MATCH($E473,PV_Summary!$A$18:$A$118,0))</f>
        <v>S</v>
      </c>
      <c r="G473" s="123">
        <v>32.796146999999998</v>
      </c>
      <c r="H473" s="61">
        <v>-117.153094</v>
      </c>
      <c r="I473" s="44" t="s">
        <v>3</v>
      </c>
      <c r="J473" s="46">
        <f t="shared" si="347"/>
        <v>0.75</v>
      </c>
      <c r="K473" s="100"/>
      <c r="L473" s="44" t="str">
        <f t="shared" si="348"/>
        <v/>
      </c>
      <c r="M473" s="46">
        <f t="shared" si="349"/>
        <v>0.75</v>
      </c>
      <c r="N473" s="46"/>
      <c r="O473" s="41">
        <f t="shared" si="325"/>
        <v>0</v>
      </c>
      <c r="P473" s="42">
        <v>150000</v>
      </c>
      <c r="Q473" s="44" t="s">
        <v>3</v>
      </c>
      <c r="R473" s="28" t="s">
        <v>55</v>
      </c>
      <c r="S473" s="48">
        <f t="shared" si="254"/>
        <v>1050000</v>
      </c>
      <c r="T473" s="48">
        <f t="shared" si="342"/>
        <v>0</v>
      </c>
      <c r="W473" s="28">
        <v>60</v>
      </c>
      <c r="X473" s="105">
        <v>1.19</v>
      </c>
      <c r="Y473" s="105">
        <v>7.92</v>
      </c>
      <c r="Z473" s="73" t="s">
        <v>467</v>
      </c>
      <c r="AA473" s="28">
        <v>200</v>
      </c>
    </row>
    <row r="474" spans="1:27" x14ac:dyDescent="0.25">
      <c r="A474" s="4"/>
      <c r="B474" s="62" t="s">
        <v>840</v>
      </c>
      <c r="C474" s="75" t="s">
        <v>841</v>
      </c>
      <c r="D474" s="28" t="s">
        <v>814</v>
      </c>
      <c r="E474" s="28">
        <f>RIGHT(TRIM(D474),5)*1</f>
        <v>92108</v>
      </c>
      <c r="F474" s="143" t="str">
        <f>INDEX(PV_Summary!$B$18:$B$118,MATCH($E474,PV_Summary!$A$18:$A$118,0))</f>
        <v>S</v>
      </c>
      <c r="G474" s="123">
        <v>32.774723999999999</v>
      </c>
      <c r="H474" s="61">
        <v>-117.127048</v>
      </c>
      <c r="I474" s="44" t="s">
        <v>69</v>
      </c>
      <c r="J474" s="46">
        <f t="shared" ca="1" si="347"/>
        <v>1.5</v>
      </c>
      <c r="K474" s="100"/>
      <c r="L474" s="44" t="str">
        <f t="shared" ca="1" si="348"/>
        <v>Total</v>
      </c>
      <c r="M474" s="46">
        <f t="shared" ca="1" si="349"/>
        <v>1.25</v>
      </c>
      <c r="N474" s="46"/>
      <c r="O474" s="41">
        <f t="shared" ca="1" si="325"/>
        <v>5</v>
      </c>
      <c r="Q474" s="44"/>
      <c r="S474" s="48">
        <f t="shared" si="254"/>
        <v>0</v>
      </c>
      <c r="T474" s="48">
        <f t="shared" ca="1" si="342"/>
        <v>1190000</v>
      </c>
      <c r="W474" s="28"/>
      <c r="X474" s="105"/>
      <c r="Y474" s="105"/>
      <c r="Z474" s="73"/>
      <c r="AA474" s="28"/>
    </row>
    <row r="475" spans="1:27" x14ac:dyDescent="0.25">
      <c r="A475" s="4"/>
      <c r="B475" s="98" t="s">
        <v>843</v>
      </c>
      <c r="C475" s="75" t="s">
        <v>841</v>
      </c>
      <c r="D475" s="28" t="s">
        <v>814</v>
      </c>
      <c r="E475" s="28">
        <f>RIGHT(TRIM(D475),5)*1</f>
        <v>92108</v>
      </c>
      <c r="F475" s="143" t="str">
        <f>INDEX(PV_Summary!$B$18:$B$118,MATCH($E475,PV_Summary!$A$18:$A$118,0))</f>
        <v>S</v>
      </c>
      <c r="G475" s="123">
        <v>32.775511000000002</v>
      </c>
      <c r="H475" s="61">
        <v>-117.125516</v>
      </c>
      <c r="I475" s="44" t="s">
        <v>36</v>
      </c>
      <c r="J475" s="46">
        <f t="shared" ref="J475:J492" si="351">IF(O475&gt;1,Sym_Scl_Aggr_Parent,IF(O475&lt;1,Sym_Scl_Aggr_Child,Sym_Scl_Normal))</f>
        <v>0.75</v>
      </c>
      <c r="K475" s="100"/>
      <c r="L475" s="44" t="str">
        <f t="shared" ref="L475:L492" si="352">IF(O475&gt;1,"Total","")</f>
        <v/>
      </c>
      <c r="M475" s="46">
        <f t="shared" ref="M475:M492" si="353">IF(O475&gt;1,Label_Scl_Aggr_Parent,IF(O475&lt;1,Label_Scl_Aggr_Child,Label_Scl_Normal))</f>
        <v>0.75</v>
      </c>
      <c r="N475" s="46"/>
      <c r="O475" s="41">
        <f t="shared" si="325"/>
        <v>0</v>
      </c>
      <c r="P475" s="42">
        <v>61000</v>
      </c>
      <c r="Q475" s="44" t="s">
        <v>36</v>
      </c>
      <c r="R475" s="28" t="s">
        <v>55</v>
      </c>
      <c r="S475" s="48">
        <f t="shared" si="254"/>
        <v>427000</v>
      </c>
      <c r="T475" s="48">
        <f t="shared" si="342"/>
        <v>0</v>
      </c>
      <c r="U475" s="28" t="s">
        <v>842</v>
      </c>
      <c r="W475" s="28">
        <v>707</v>
      </c>
      <c r="X475" s="105">
        <v>1.5</v>
      </c>
      <c r="Y475" s="105">
        <v>10</v>
      </c>
      <c r="Z475" s="73" t="s">
        <v>955</v>
      </c>
      <c r="AA475" s="28">
        <v>0</v>
      </c>
    </row>
    <row r="476" spans="1:27" x14ac:dyDescent="0.25">
      <c r="A476" s="4"/>
      <c r="B476" s="98" t="s">
        <v>845</v>
      </c>
      <c r="C476" s="75" t="s">
        <v>841</v>
      </c>
      <c r="D476" s="28" t="s">
        <v>814</v>
      </c>
      <c r="E476" s="28">
        <f t="shared" ref="E476:E483" si="354">RIGHT(TRIM(D476),5)*1</f>
        <v>92108</v>
      </c>
      <c r="F476" s="143" t="str">
        <f>INDEX(PV_Summary!$B$18:$B$118,MATCH($E476,PV_Summary!$A$18:$A$118,0))</f>
        <v>S</v>
      </c>
      <c r="G476" s="123">
        <v>32.774025999999999</v>
      </c>
      <c r="H476" s="61">
        <v>-117.12789600000001</v>
      </c>
      <c r="I476" s="44" t="s">
        <v>36</v>
      </c>
      <c r="J476" s="46">
        <f t="shared" si="351"/>
        <v>0.75</v>
      </c>
      <c r="K476" s="100"/>
      <c r="L476" s="44" t="str">
        <f t="shared" si="352"/>
        <v/>
      </c>
      <c r="M476" s="46">
        <f t="shared" si="353"/>
        <v>0.75</v>
      </c>
      <c r="N476" s="46"/>
      <c r="O476" s="41">
        <f t="shared" si="325"/>
        <v>0</v>
      </c>
      <c r="P476" s="42">
        <v>30000</v>
      </c>
      <c r="Q476" s="44" t="s">
        <v>36</v>
      </c>
      <c r="R476" s="28" t="s">
        <v>55</v>
      </c>
      <c r="S476" s="48">
        <f t="shared" si="254"/>
        <v>210000</v>
      </c>
      <c r="T476" s="48">
        <f t="shared" si="342"/>
        <v>0</v>
      </c>
      <c r="W476" s="28">
        <v>707</v>
      </c>
      <c r="X476" s="105">
        <v>1.5</v>
      </c>
      <c r="Y476" s="105">
        <v>10</v>
      </c>
      <c r="Z476" s="73" t="s">
        <v>955</v>
      </c>
      <c r="AA476" s="28">
        <v>0</v>
      </c>
    </row>
    <row r="477" spans="1:27" x14ac:dyDescent="0.25">
      <c r="A477" s="4"/>
      <c r="B477" s="98" t="s">
        <v>846</v>
      </c>
      <c r="C477" s="75" t="s">
        <v>841</v>
      </c>
      <c r="D477" s="28" t="s">
        <v>814</v>
      </c>
      <c r="E477" s="28">
        <f t="shared" si="354"/>
        <v>92108</v>
      </c>
      <c r="F477" s="143" t="str">
        <f>INDEX(PV_Summary!$B$18:$B$118,MATCH($E477,PV_Summary!$A$18:$A$118,0))</f>
        <v>S</v>
      </c>
      <c r="G477" s="123">
        <v>32.774441000000003</v>
      </c>
      <c r="H477" s="61">
        <v>-117.128068</v>
      </c>
      <c r="I477" s="44" t="s">
        <v>3</v>
      </c>
      <c r="J477" s="46">
        <f t="shared" si="351"/>
        <v>0.75</v>
      </c>
      <c r="K477" s="100"/>
      <c r="L477" s="44" t="str">
        <f t="shared" si="352"/>
        <v/>
      </c>
      <c r="M477" s="46">
        <f t="shared" si="353"/>
        <v>0.75</v>
      </c>
      <c r="N477" s="46"/>
      <c r="O477" s="41">
        <f t="shared" si="325"/>
        <v>0</v>
      </c>
      <c r="P477" s="42">
        <v>39000</v>
      </c>
      <c r="Q477" s="44" t="s">
        <v>3</v>
      </c>
      <c r="R477" s="28" t="s">
        <v>55</v>
      </c>
      <c r="S477" s="48">
        <f t="shared" si="254"/>
        <v>273000</v>
      </c>
      <c r="T477" s="48">
        <f t="shared" si="342"/>
        <v>0</v>
      </c>
      <c r="W477" s="28">
        <v>707</v>
      </c>
      <c r="X477" s="105">
        <v>1.5</v>
      </c>
      <c r="Y477" s="105">
        <v>10</v>
      </c>
      <c r="Z477" s="73" t="s">
        <v>955</v>
      </c>
      <c r="AA477" s="28">
        <v>0</v>
      </c>
    </row>
    <row r="478" spans="1:27" x14ac:dyDescent="0.25">
      <c r="A478" s="4"/>
      <c r="B478" s="98" t="s">
        <v>844</v>
      </c>
      <c r="C478" s="75" t="s">
        <v>841</v>
      </c>
      <c r="D478" s="28" t="s">
        <v>814</v>
      </c>
      <c r="E478" s="28">
        <f t="shared" si="354"/>
        <v>92108</v>
      </c>
      <c r="F478" s="143" t="str">
        <f>INDEX(PV_Summary!$B$18:$B$118,MATCH($E478,PV_Summary!$A$18:$A$118,0))</f>
        <v>S</v>
      </c>
      <c r="G478" s="123">
        <v>32.773698000000003</v>
      </c>
      <c r="H478" s="61">
        <v>-117.128873</v>
      </c>
      <c r="I478" s="44" t="s">
        <v>3</v>
      </c>
      <c r="J478" s="46">
        <f t="shared" si="351"/>
        <v>0.75</v>
      </c>
      <c r="K478" s="100"/>
      <c r="L478" s="44" t="str">
        <f t="shared" si="352"/>
        <v/>
      </c>
      <c r="M478" s="46">
        <f t="shared" si="353"/>
        <v>0.75</v>
      </c>
      <c r="N478" s="46"/>
      <c r="O478" s="41">
        <f t="shared" si="325"/>
        <v>0</v>
      </c>
      <c r="P478" s="42">
        <v>40000</v>
      </c>
      <c r="Q478" s="44" t="s">
        <v>3</v>
      </c>
      <c r="R478" s="28" t="s">
        <v>55</v>
      </c>
      <c r="S478" s="48">
        <f t="shared" si="254"/>
        <v>280000</v>
      </c>
      <c r="T478" s="48">
        <f t="shared" si="342"/>
        <v>0</v>
      </c>
      <c r="W478" s="28">
        <v>707</v>
      </c>
      <c r="X478" s="105">
        <v>1.5</v>
      </c>
      <c r="Y478" s="105">
        <v>10</v>
      </c>
      <c r="Z478" s="73" t="s">
        <v>955</v>
      </c>
      <c r="AA478" s="28">
        <v>100</v>
      </c>
    </row>
    <row r="479" spans="1:27" x14ac:dyDescent="0.25">
      <c r="A479" s="4"/>
      <c r="B479" s="62" t="s">
        <v>857</v>
      </c>
      <c r="C479" s="75" t="s">
        <v>858</v>
      </c>
      <c r="D479" s="28" t="s">
        <v>814</v>
      </c>
      <c r="E479" s="28">
        <f t="shared" si="354"/>
        <v>92108</v>
      </c>
      <c r="F479" s="143" t="str">
        <f>INDEX(PV_Summary!$B$18:$B$118,MATCH($E479,PV_Summary!$A$18:$A$118,0))</f>
        <v>S</v>
      </c>
      <c r="G479" s="123">
        <v>32.766956999999998</v>
      </c>
      <c r="H479" s="61">
        <v>-117.14463499999999</v>
      </c>
      <c r="I479" s="44" t="s">
        <v>3</v>
      </c>
      <c r="J479" s="46">
        <f t="shared" ca="1" si="351"/>
        <v>1</v>
      </c>
      <c r="K479" s="100"/>
      <c r="L479" s="44" t="str">
        <f t="shared" ca="1" si="352"/>
        <v/>
      </c>
      <c r="M479" s="46">
        <f t="shared" ca="1" si="353"/>
        <v>1</v>
      </c>
      <c r="N479" s="46"/>
      <c r="O479" s="41">
        <f t="shared" ca="1" si="325"/>
        <v>1</v>
      </c>
      <c r="P479" s="42">
        <v>133000</v>
      </c>
      <c r="Q479" s="44" t="s">
        <v>3</v>
      </c>
      <c r="R479" s="28" t="s">
        <v>55</v>
      </c>
      <c r="S479" s="48">
        <f t="shared" si="254"/>
        <v>931000</v>
      </c>
      <c r="T479" s="48">
        <f t="shared" ca="1" si="342"/>
        <v>931000</v>
      </c>
      <c r="W479" s="28">
        <v>145</v>
      </c>
      <c r="X479" s="105">
        <v>1.43</v>
      </c>
      <c r="Y479" s="105">
        <v>9.5399999999999991</v>
      </c>
      <c r="Z479" s="73" t="s">
        <v>955</v>
      </c>
      <c r="AA479" s="28">
        <v>100</v>
      </c>
    </row>
    <row r="480" spans="1:27" x14ac:dyDescent="0.25">
      <c r="A480" s="4"/>
      <c r="B480" s="62" t="s">
        <v>847</v>
      </c>
      <c r="C480" s="75" t="s">
        <v>848</v>
      </c>
      <c r="D480" s="28" t="s">
        <v>814</v>
      </c>
      <c r="E480" s="28">
        <f t="shared" si="354"/>
        <v>92108</v>
      </c>
      <c r="F480" s="143" t="str">
        <f>INDEX(PV_Summary!$B$18:$B$118,MATCH($E480,PV_Summary!$A$18:$A$118,0))</f>
        <v>S</v>
      </c>
      <c r="G480" s="123">
        <v>32.768546000000001</v>
      </c>
      <c r="H480" s="61">
        <v>-117.14862599999999</v>
      </c>
      <c r="I480" s="44" t="s">
        <v>62</v>
      </c>
      <c r="J480" s="46">
        <f t="shared" ca="1" si="351"/>
        <v>1.5</v>
      </c>
      <c r="K480" s="100"/>
      <c r="L480" s="44" t="str">
        <f t="shared" ca="1" si="352"/>
        <v>Total</v>
      </c>
      <c r="M480" s="46">
        <f t="shared" ca="1" si="353"/>
        <v>1.25</v>
      </c>
      <c r="N480" s="46"/>
      <c r="O480" s="41">
        <f t="shared" ca="1" si="325"/>
        <v>13</v>
      </c>
      <c r="Q480" s="44"/>
      <c r="S480" s="48">
        <f t="shared" si="254"/>
        <v>0</v>
      </c>
      <c r="T480" s="48">
        <f t="shared" ca="1" si="342"/>
        <v>8358000</v>
      </c>
      <c r="W480" s="28" t="s">
        <v>604</v>
      </c>
      <c r="X480" s="105"/>
      <c r="Y480" s="105"/>
      <c r="Z480" s="73" t="s">
        <v>956</v>
      </c>
      <c r="AA480" s="28"/>
    </row>
    <row r="481" spans="1:27" x14ac:dyDescent="0.25">
      <c r="A481" s="4"/>
      <c r="B481" s="98" t="s">
        <v>862</v>
      </c>
      <c r="C481" s="75" t="s">
        <v>848</v>
      </c>
      <c r="D481" s="28" t="s">
        <v>814</v>
      </c>
      <c r="E481" s="28">
        <f t="shared" si="354"/>
        <v>92108</v>
      </c>
      <c r="F481" s="143" t="str">
        <f>INDEX(PV_Summary!$B$18:$B$118,MATCH($E481,PV_Summary!$A$18:$A$118,0))</f>
        <v>S</v>
      </c>
      <c r="G481" s="123">
        <v>32.769778000000002</v>
      </c>
      <c r="H481" s="61">
        <v>-117.144262</v>
      </c>
      <c r="I481" s="44" t="s">
        <v>3</v>
      </c>
      <c r="J481" s="46">
        <f t="shared" si="351"/>
        <v>0.75</v>
      </c>
      <c r="K481" s="100"/>
      <c r="L481" s="44" t="str">
        <f t="shared" si="352"/>
        <v/>
      </c>
      <c r="M481" s="46">
        <f t="shared" si="353"/>
        <v>0.75</v>
      </c>
      <c r="N481" s="46"/>
      <c r="O481" s="41">
        <f t="shared" si="325"/>
        <v>0</v>
      </c>
      <c r="P481" s="42">
        <v>49000</v>
      </c>
      <c r="Q481" s="44" t="s">
        <v>3</v>
      </c>
      <c r="R481" s="28" t="s">
        <v>55</v>
      </c>
      <c r="S481" s="48">
        <f t="shared" si="254"/>
        <v>343000</v>
      </c>
      <c r="T481" s="48">
        <f t="shared" si="342"/>
        <v>0</v>
      </c>
      <c r="W481" s="28">
        <v>39</v>
      </c>
      <c r="X481" s="105">
        <v>1.5</v>
      </c>
      <c r="Y481" s="105">
        <v>9.98</v>
      </c>
      <c r="Z481" s="73" t="s">
        <v>956</v>
      </c>
      <c r="AA481" s="28">
        <v>0</v>
      </c>
    </row>
    <row r="482" spans="1:27" x14ac:dyDescent="0.25">
      <c r="A482" s="4"/>
      <c r="B482" s="98" t="s">
        <v>863</v>
      </c>
      <c r="C482" s="75" t="s">
        <v>848</v>
      </c>
      <c r="D482" s="28" t="s">
        <v>814</v>
      </c>
      <c r="E482" s="28">
        <f t="shared" si="354"/>
        <v>92108</v>
      </c>
      <c r="F482" s="143" t="str">
        <f>INDEX(PV_Summary!$B$18:$B$118,MATCH($E482,PV_Summary!$A$18:$A$118,0))</f>
        <v>S</v>
      </c>
      <c r="G482" s="123">
        <v>32.769584999999999</v>
      </c>
      <c r="H482" s="61">
        <v>-117.14516999999999</v>
      </c>
      <c r="I482" s="44" t="s">
        <v>3</v>
      </c>
      <c r="J482" s="46">
        <f t="shared" si="351"/>
        <v>0.75</v>
      </c>
      <c r="K482" s="100"/>
      <c r="L482" s="44" t="str">
        <f t="shared" si="352"/>
        <v/>
      </c>
      <c r="M482" s="46">
        <f t="shared" si="353"/>
        <v>0.75</v>
      </c>
      <c r="N482" s="46"/>
      <c r="O482" s="41">
        <f t="shared" si="325"/>
        <v>0</v>
      </c>
      <c r="P482" s="42">
        <v>225000</v>
      </c>
      <c r="Q482" s="44" t="s">
        <v>3</v>
      </c>
      <c r="R482" s="28" t="s">
        <v>55</v>
      </c>
      <c r="S482" s="48">
        <f t="shared" si="254"/>
        <v>1575000</v>
      </c>
      <c r="T482" s="48">
        <f t="shared" si="342"/>
        <v>0</v>
      </c>
      <c r="W482" s="28">
        <v>39</v>
      </c>
      <c r="X482" s="105">
        <v>1.5</v>
      </c>
      <c r="Y482" s="105">
        <v>9.98</v>
      </c>
      <c r="Z482" s="73" t="s">
        <v>956</v>
      </c>
      <c r="AA482" s="28">
        <v>0</v>
      </c>
    </row>
    <row r="483" spans="1:27" x14ac:dyDescent="0.25">
      <c r="A483" s="4"/>
      <c r="B483" s="98" t="s">
        <v>864</v>
      </c>
      <c r="C483" s="75" t="s">
        <v>848</v>
      </c>
      <c r="D483" s="28" t="s">
        <v>814</v>
      </c>
      <c r="E483" s="28">
        <f t="shared" si="354"/>
        <v>92108</v>
      </c>
      <c r="F483" s="143" t="str">
        <f>INDEX(PV_Summary!$B$18:$B$118,MATCH($E483,PV_Summary!$A$18:$A$118,0))</f>
        <v>S</v>
      </c>
      <c r="G483" s="123">
        <v>32.768179000000003</v>
      </c>
      <c r="H483" s="61">
        <v>-117.14609</v>
      </c>
      <c r="I483" s="44" t="s">
        <v>3</v>
      </c>
      <c r="J483" s="46">
        <f t="shared" si="351"/>
        <v>0.75</v>
      </c>
      <c r="K483" s="100"/>
      <c r="L483" s="44" t="str">
        <f t="shared" si="352"/>
        <v/>
      </c>
      <c r="M483" s="46">
        <f t="shared" si="353"/>
        <v>0.75</v>
      </c>
      <c r="N483" s="46"/>
      <c r="O483" s="41">
        <f t="shared" si="325"/>
        <v>0</v>
      </c>
      <c r="P483" s="42">
        <v>53000</v>
      </c>
      <c r="Q483" s="44" t="s">
        <v>3</v>
      </c>
      <c r="R483" s="28" t="s">
        <v>55</v>
      </c>
      <c r="S483" s="48">
        <f t="shared" si="254"/>
        <v>371000</v>
      </c>
      <c r="T483" s="48">
        <f t="shared" si="342"/>
        <v>0</v>
      </c>
      <c r="W483" s="28">
        <v>39</v>
      </c>
      <c r="X483" s="105">
        <v>1.5</v>
      </c>
      <c r="Y483" s="105">
        <v>9.98</v>
      </c>
      <c r="Z483" s="73" t="s">
        <v>956</v>
      </c>
      <c r="AA483" s="28">
        <v>100</v>
      </c>
    </row>
    <row r="484" spans="1:27" x14ac:dyDescent="0.25">
      <c r="A484" s="4"/>
      <c r="B484" s="98" t="s">
        <v>865</v>
      </c>
      <c r="C484" s="75" t="s">
        <v>848</v>
      </c>
      <c r="D484" s="28" t="s">
        <v>814</v>
      </c>
      <c r="E484" s="28">
        <f t="shared" ref="E484:E498" si="355">RIGHT(TRIM(D484),5)*1</f>
        <v>92108</v>
      </c>
      <c r="F484" s="143" t="str">
        <f>INDEX(PV_Summary!$B$18:$B$118,MATCH($E484,PV_Summary!$A$18:$A$118,0))</f>
        <v>S</v>
      </c>
      <c r="G484" s="123">
        <v>32.77028</v>
      </c>
      <c r="H484" s="61">
        <v>-117.147115</v>
      </c>
      <c r="I484" s="44" t="s">
        <v>3</v>
      </c>
      <c r="J484" s="46">
        <f t="shared" si="351"/>
        <v>0.75</v>
      </c>
      <c r="K484" s="100"/>
      <c r="L484" s="44" t="str">
        <f t="shared" si="352"/>
        <v/>
      </c>
      <c r="M484" s="46">
        <f t="shared" si="353"/>
        <v>0.75</v>
      </c>
      <c r="N484" s="46"/>
      <c r="O484" s="41">
        <f t="shared" si="325"/>
        <v>0</v>
      </c>
      <c r="P484" s="42">
        <v>202000</v>
      </c>
      <c r="Q484" s="44" t="s">
        <v>3</v>
      </c>
      <c r="R484" s="28" t="s">
        <v>55</v>
      </c>
      <c r="S484" s="48">
        <f t="shared" si="254"/>
        <v>1414000</v>
      </c>
      <c r="T484" s="48">
        <f t="shared" si="342"/>
        <v>0</v>
      </c>
      <c r="W484" s="28">
        <v>39</v>
      </c>
      <c r="X484" s="105">
        <v>1.5</v>
      </c>
      <c r="Y484" s="105">
        <v>9.98</v>
      </c>
      <c r="Z484" s="73" t="s">
        <v>956</v>
      </c>
      <c r="AA484" s="28">
        <v>0</v>
      </c>
    </row>
    <row r="485" spans="1:27" x14ac:dyDescent="0.25">
      <c r="A485" s="4"/>
      <c r="B485" s="98" t="s">
        <v>866</v>
      </c>
      <c r="C485" s="75" t="s">
        <v>848</v>
      </c>
      <c r="D485" s="28" t="s">
        <v>814</v>
      </c>
      <c r="E485" s="28">
        <f t="shared" si="355"/>
        <v>92108</v>
      </c>
      <c r="F485" s="143" t="str">
        <f>INDEX(PV_Summary!$B$18:$B$118,MATCH($E485,PV_Summary!$A$18:$A$118,0))</f>
        <v>S</v>
      </c>
      <c r="G485" s="123">
        <v>32.769267999999997</v>
      </c>
      <c r="H485" s="61">
        <v>-117.150505</v>
      </c>
      <c r="I485" s="44" t="s">
        <v>3</v>
      </c>
      <c r="J485" s="46">
        <f t="shared" si="351"/>
        <v>0.75</v>
      </c>
      <c r="K485" s="100"/>
      <c r="L485" s="44" t="str">
        <f t="shared" si="352"/>
        <v/>
      </c>
      <c r="M485" s="46">
        <f t="shared" si="353"/>
        <v>0.75</v>
      </c>
      <c r="N485" s="46"/>
      <c r="O485" s="41">
        <f t="shared" si="325"/>
        <v>0</v>
      </c>
      <c r="P485" s="42">
        <v>75000</v>
      </c>
      <c r="Q485" s="44" t="s">
        <v>3</v>
      </c>
      <c r="R485" s="28" t="s">
        <v>55</v>
      </c>
      <c r="S485" s="48">
        <f t="shared" si="254"/>
        <v>525000</v>
      </c>
      <c r="T485" s="48">
        <f t="shared" si="342"/>
        <v>0</v>
      </c>
      <c r="W485" s="28">
        <v>1060</v>
      </c>
      <c r="X485" s="105">
        <v>1.46</v>
      </c>
      <c r="Y485" s="105">
        <v>9.74</v>
      </c>
      <c r="Z485" s="73" t="s">
        <v>956</v>
      </c>
      <c r="AA485" s="28">
        <v>0</v>
      </c>
    </row>
    <row r="486" spans="1:27" x14ac:dyDescent="0.25">
      <c r="A486" s="4"/>
      <c r="B486" s="98" t="s">
        <v>867</v>
      </c>
      <c r="C486" s="75" t="s">
        <v>848</v>
      </c>
      <c r="D486" s="28" t="s">
        <v>814</v>
      </c>
      <c r="E486" s="28">
        <f t="shared" si="355"/>
        <v>92108</v>
      </c>
      <c r="F486" s="143" t="str">
        <f>INDEX(PV_Summary!$B$18:$B$118,MATCH($E486,PV_Summary!$A$18:$A$118,0))</f>
        <v>S</v>
      </c>
      <c r="G486" s="123">
        <v>32.768478000000002</v>
      </c>
      <c r="H486" s="61">
        <v>-117.151516</v>
      </c>
      <c r="I486" s="44" t="s">
        <v>3</v>
      </c>
      <c r="J486" s="46">
        <f t="shared" si="351"/>
        <v>0.75</v>
      </c>
      <c r="K486" s="100"/>
      <c r="L486" s="44" t="str">
        <f t="shared" si="352"/>
        <v/>
      </c>
      <c r="M486" s="46">
        <f t="shared" si="353"/>
        <v>0.75</v>
      </c>
      <c r="N486" s="46"/>
      <c r="O486" s="41">
        <f t="shared" si="325"/>
        <v>0</v>
      </c>
      <c r="P486" s="42">
        <v>87000</v>
      </c>
      <c r="Q486" s="44" t="s">
        <v>3</v>
      </c>
      <c r="R486" s="28" t="s">
        <v>55</v>
      </c>
      <c r="S486" s="48">
        <f t="shared" si="254"/>
        <v>609000</v>
      </c>
      <c r="T486" s="48">
        <f t="shared" si="342"/>
        <v>0</v>
      </c>
      <c r="W486" s="28">
        <v>1060</v>
      </c>
      <c r="X486" s="105">
        <v>1.46</v>
      </c>
      <c r="Y486" s="105">
        <v>9.74</v>
      </c>
      <c r="Z486" s="73" t="s">
        <v>956</v>
      </c>
      <c r="AA486" s="28">
        <v>0</v>
      </c>
    </row>
    <row r="487" spans="1:27" x14ac:dyDescent="0.25">
      <c r="A487" s="4"/>
      <c r="B487" s="98" t="s">
        <v>868</v>
      </c>
      <c r="C487" s="75" t="s">
        <v>848</v>
      </c>
      <c r="D487" s="28" t="s">
        <v>814</v>
      </c>
      <c r="E487" s="28">
        <f t="shared" si="355"/>
        <v>92108</v>
      </c>
      <c r="F487" s="143" t="str">
        <f>INDEX(PV_Summary!$B$18:$B$118,MATCH($E487,PV_Summary!$A$18:$A$118,0))</f>
        <v>S</v>
      </c>
      <c r="G487" s="123">
        <v>32.767476000000002</v>
      </c>
      <c r="H487" s="61">
        <v>-117.151549</v>
      </c>
      <c r="I487" s="44" t="s">
        <v>3</v>
      </c>
      <c r="J487" s="46">
        <f t="shared" si="351"/>
        <v>0.75</v>
      </c>
      <c r="K487" s="100"/>
      <c r="L487" s="44" t="str">
        <f t="shared" si="352"/>
        <v/>
      </c>
      <c r="M487" s="46">
        <f t="shared" si="353"/>
        <v>0.75</v>
      </c>
      <c r="N487" s="46"/>
      <c r="O487" s="41">
        <f t="shared" si="325"/>
        <v>0</v>
      </c>
      <c r="P487" s="42">
        <v>127000</v>
      </c>
      <c r="Q487" s="44" t="s">
        <v>3</v>
      </c>
      <c r="R487" s="28" t="s">
        <v>55</v>
      </c>
      <c r="S487" s="48">
        <f t="shared" si="254"/>
        <v>889000</v>
      </c>
      <c r="T487" s="48">
        <f t="shared" si="342"/>
        <v>0</v>
      </c>
      <c r="W487" s="28">
        <v>39</v>
      </c>
      <c r="X487" s="105">
        <v>1.5</v>
      </c>
      <c r="Y487" s="105">
        <v>9.98</v>
      </c>
      <c r="Z487" s="73" t="s">
        <v>956</v>
      </c>
      <c r="AA487" s="28">
        <v>0</v>
      </c>
    </row>
    <row r="488" spans="1:27" x14ac:dyDescent="0.25">
      <c r="A488" s="4"/>
      <c r="B488" s="98" t="s">
        <v>869</v>
      </c>
      <c r="C488" s="75" t="s">
        <v>848</v>
      </c>
      <c r="D488" s="28" t="s">
        <v>814</v>
      </c>
      <c r="E488" s="28">
        <f t="shared" si="355"/>
        <v>92108</v>
      </c>
      <c r="F488" s="143" t="str">
        <f>INDEX(PV_Summary!$B$18:$B$118,MATCH($E488,PV_Summary!$A$18:$A$118,0))</f>
        <v>S</v>
      </c>
      <c r="G488" s="123">
        <v>32.767150000000001</v>
      </c>
      <c r="H488" s="61">
        <v>-117.150133</v>
      </c>
      <c r="I488" s="44" t="s">
        <v>3</v>
      </c>
      <c r="J488" s="46">
        <f t="shared" si="351"/>
        <v>0.75</v>
      </c>
      <c r="K488" s="100"/>
      <c r="L488" s="44" t="str">
        <f t="shared" si="352"/>
        <v/>
      </c>
      <c r="M488" s="46">
        <f t="shared" si="353"/>
        <v>0.75</v>
      </c>
      <c r="N488" s="46"/>
      <c r="O488" s="41">
        <f t="shared" si="325"/>
        <v>0</v>
      </c>
      <c r="P488" s="42">
        <v>58000</v>
      </c>
      <c r="Q488" s="44" t="s">
        <v>3</v>
      </c>
      <c r="R488" s="28" t="s">
        <v>55</v>
      </c>
      <c r="S488" s="48">
        <f t="shared" si="254"/>
        <v>406000</v>
      </c>
      <c r="T488" s="48">
        <f t="shared" si="342"/>
        <v>0</v>
      </c>
      <c r="W488" s="28">
        <v>39</v>
      </c>
      <c r="X488" s="105">
        <v>1.5</v>
      </c>
      <c r="Y488" s="105">
        <v>9.98</v>
      </c>
      <c r="Z488" s="73" t="s">
        <v>956</v>
      </c>
      <c r="AA488" s="28">
        <v>0</v>
      </c>
    </row>
    <row r="489" spans="1:27" x14ac:dyDescent="0.25">
      <c r="A489" s="4"/>
      <c r="B489" s="98" t="s">
        <v>870</v>
      </c>
      <c r="C489" s="75" t="s">
        <v>848</v>
      </c>
      <c r="D489" s="28" t="s">
        <v>814</v>
      </c>
      <c r="E489" s="28">
        <f t="shared" si="355"/>
        <v>92108</v>
      </c>
      <c r="F489" s="143" t="str">
        <f>INDEX(PV_Summary!$B$18:$B$118,MATCH($E489,PV_Summary!$A$18:$A$118,0))</f>
        <v>S</v>
      </c>
      <c r="G489" s="123">
        <v>32.767440999999998</v>
      </c>
      <c r="H489" s="61">
        <v>-117.152742</v>
      </c>
      <c r="I489" s="44" t="s">
        <v>3</v>
      </c>
      <c r="J489" s="46">
        <f t="shared" si="351"/>
        <v>0.75</v>
      </c>
      <c r="K489" s="100"/>
      <c r="L489" s="44" t="str">
        <f t="shared" si="352"/>
        <v/>
      </c>
      <c r="M489" s="46">
        <f t="shared" si="353"/>
        <v>0.75</v>
      </c>
      <c r="N489" s="46"/>
      <c r="O489" s="41">
        <f t="shared" si="325"/>
        <v>0</v>
      </c>
      <c r="P489" s="42">
        <v>86000</v>
      </c>
      <c r="Q489" s="44" t="s">
        <v>3</v>
      </c>
      <c r="R489" s="28" t="s">
        <v>55</v>
      </c>
      <c r="S489" s="48">
        <f t="shared" si="254"/>
        <v>602000</v>
      </c>
      <c r="T489" s="48">
        <f t="shared" ref="T489:T520" si="356">SUMIF($C:$C,$C489,$S:$S)*IF($O489&gt;=1,1,0)</f>
        <v>0</v>
      </c>
      <c r="W489" s="28">
        <v>39</v>
      </c>
      <c r="X489" s="105">
        <v>1.5</v>
      </c>
      <c r="Y489" s="105">
        <v>9.98</v>
      </c>
      <c r="Z489" s="73" t="s">
        <v>956</v>
      </c>
      <c r="AA489" s="28">
        <v>0</v>
      </c>
    </row>
    <row r="490" spans="1:27" x14ac:dyDescent="0.25">
      <c r="A490" s="4"/>
      <c r="B490" s="98" t="s">
        <v>859</v>
      </c>
      <c r="C490" s="75" t="s">
        <v>848</v>
      </c>
      <c r="D490" s="28" t="s">
        <v>814</v>
      </c>
      <c r="E490" s="28">
        <f t="shared" si="355"/>
        <v>92108</v>
      </c>
      <c r="F490" s="143" t="str">
        <f>INDEX(PV_Summary!$B$18:$B$118,MATCH($E490,PV_Summary!$A$18:$A$118,0))</f>
        <v>S</v>
      </c>
      <c r="G490" s="123">
        <v>32.767252999999997</v>
      </c>
      <c r="H490" s="61">
        <v>-117.155022</v>
      </c>
      <c r="I490" s="44" t="s">
        <v>3</v>
      </c>
      <c r="J490" s="46">
        <f t="shared" si="351"/>
        <v>0.75</v>
      </c>
      <c r="K490" s="100"/>
      <c r="L490" s="44" t="str">
        <f t="shared" si="352"/>
        <v/>
      </c>
      <c r="M490" s="46">
        <f t="shared" si="353"/>
        <v>0.75</v>
      </c>
      <c r="N490" s="46"/>
      <c r="O490" s="41">
        <f t="shared" si="325"/>
        <v>0</v>
      </c>
      <c r="P490" s="42">
        <v>42000</v>
      </c>
      <c r="Q490" s="44" t="s">
        <v>3</v>
      </c>
      <c r="R490" s="28" t="s">
        <v>55</v>
      </c>
      <c r="S490" s="48">
        <f t="shared" si="254"/>
        <v>294000</v>
      </c>
      <c r="T490" s="48">
        <f t="shared" si="356"/>
        <v>0</v>
      </c>
      <c r="W490" s="28">
        <v>35</v>
      </c>
      <c r="X490" s="105">
        <v>1.39</v>
      </c>
      <c r="Y490" s="105">
        <v>9.25</v>
      </c>
      <c r="Z490" s="73" t="s">
        <v>956</v>
      </c>
      <c r="AA490" s="28">
        <v>100</v>
      </c>
    </row>
    <row r="491" spans="1:27" x14ac:dyDescent="0.25">
      <c r="A491" s="4"/>
      <c r="B491" s="98" t="s">
        <v>860</v>
      </c>
      <c r="C491" s="75" t="s">
        <v>848</v>
      </c>
      <c r="D491" s="28" t="s">
        <v>814</v>
      </c>
      <c r="E491" s="28">
        <f t="shared" si="355"/>
        <v>92108</v>
      </c>
      <c r="F491" s="143" t="str">
        <f>INDEX(PV_Summary!$B$18:$B$118,MATCH($E491,PV_Summary!$A$18:$A$118,0))</f>
        <v>S</v>
      </c>
      <c r="G491" s="123">
        <v>32.767004</v>
      </c>
      <c r="H491" s="61">
        <v>-117.15618600000001</v>
      </c>
      <c r="I491" s="44" t="s">
        <v>3</v>
      </c>
      <c r="J491" s="46">
        <f t="shared" si="351"/>
        <v>0.75</v>
      </c>
      <c r="K491" s="100"/>
      <c r="L491" s="44" t="str">
        <f t="shared" si="352"/>
        <v/>
      </c>
      <c r="M491" s="46">
        <f t="shared" si="353"/>
        <v>0.75</v>
      </c>
      <c r="N491" s="46"/>
      <c r="O491" s="41">
        <f t="shared" si="325"/>
        <v>0</v>
      </c>
      <c r="P491" s="42">
        <v>52000</v>
      </c>
      <c r="Q491" s="44" t="s">
        <v>3</v>
      </c>
      <c r="R491" s="28" t="s">
        <v>55</v>
      </c>
      <c r="S491" s="48">
        <f t="shared" si="254"/>
        <v>364000</v>
      </c>
      <c r="T491" s="48">
        <f t="shared" si="356"/>
        <v>0</v>
      </c>
      <c r="W491" s="28">
        <v>35</v>
      </c>
      <c r="X491" s="105">
        <v>1.39</v>
      </c>
      <c r="Y491" s="105">
        <v>9.25</v>
      </c>
      <c r="Z491" s="73" t="s">
        <v>956</v>
      </c>
      <c r="AA491" s="28">
        <v>100</v>
      </c>
    </row>
    <row r="492" spans="1:27" x14ac:dyDescent="0.25">
      <c r="A492" s="4"/>
      <c r="B492" s="98" t="s">
        <v>861</v>
      </c>
      <c r="C492" s="75" t="s">
        <v>848</v>
      </c>
      <c r="D492" s="28" t="s">
        <v>814</v>
      </c>
      <c r="E492" s="28">
        <f t="shared" si="355"/>
        <v>92108</v>
      </c>
      <c r="F492" s="143" t="str">
        <f>INDEX(PV_Summary!$B$18:$B$118,MATCH($E492,PV_Summary!$A$18:$A$118,0))</f>
        <v>S</v>
      </c>
      <c r="G492" s="123">
        <v>32.766643000000002</v>
      </c>
      <c r="H492" s="61">
        <v>-117.155405</v>
      </c>
      <c r="I492" s="44" t="s">
        <v>3</v>
      </c>
      <c r="J492" s="46">
        <f t="shared" si="351"/>
        <v>0.75</v>
      </c>
      <c r="K492" s="100"/>
      <c r="L492" s="44" t="str">
        <f t="shared" si="352"/>
        <v/>
      </c>
      <c r="M492" s="46">
        <f t="shared" si="353"/>
        <v>0.75</v>
      </c>
      <c r="N492" s="46"/>
      <c r="O492" s="41">
        <f t="shared" si="325"/>
        <v>0</v>
      </c>
      <c r="P492" s="42">
        <v>138000</v>
      </c>
      <c r="Q492" s="44" t="s">
        <v>3</v>
      </c>
      <c r="R492" s="28" t="s">
        <v>55</v>
      </c>
      <c r="S492" s="48">
        <f t="shared" si="254"/>
        <v>966000</v>
      </c>
      <c r="T492" s="48">
        <f t="shared" si="356"/>
        <v>0</v>
      </c>
      <c r="W492" s="28">
        <v>35</v>
      </c>
      <c r="X492" s="105">
        <v>1.39</v>
      </c>
      <c r="Y492" s="105">
        <v>9.25</v>
      </c>
      <c r="Z492" s="73" t="s">
        <v>956</v>
      </c>
      <c r="AA492" s="28">
        <v>200</v>
      </c>
    </row>
    <row r="493" spans="1:27" x14ac:dyDescent="0.25">
      <c r="A493" s="4"/>
      <c r="B493" s="62" t="s">
        <v>871</v>
      </c>
      <c r="C493" s="75" t="s">
        <v>872</v>
      </c>
      <c r="D493" s="28" t="s">
        <v>814</v>
      </c>
      <c r="E493" s="28">
        <f t="shared" si="355"/>
        <v>92108</v>
      </c>
      <c r="F493" s="143" t="str">
        <f>INDEX(PV_Summary!$B$18:$B$118,MATCH($E493,PV_Summary!$A$18:$A$118,0))</f>
        <v>S</v>
      </c>
      <c r="G493" s="123">
        <v>32.765881</v>
      </c>
      <c r="H493" s="61">
        <v>-117.15731700000001</v>
      </c>
      <c r="I493" s="44" t="s">
        <v>62</v>
      </c>
      <c r="J493" s="46">
        <f t="shared" ref="J493:J499" ca="1" si="357">IF(O493&gt;1,Sym_Scl_Aggr_Parent,IF(O493&lt;1,Sym_Scl_Aggr_Child,Sym_Scl_Normal))</f>
        <v>1.5</v>
      </c>
      <c r="K493" s="100"/>
      <c r="L493" s="44" t="str">
        <f t="shared" ref="L493:L499" ca="1" si="358">IF(O493&gt;1,"Total","")</f>
        <v>Total</v>
      </c>
      <c r="M493" s="46">
        <f t="shared" ref="M493:M499" ca="1" si="359">IF(O493&gt;1,Label_Scl_Aggr_Parent,IF(O493&lt;1,Label_Scl_Aggr_Child,Label_Scl_Normal))</f>
        <v>1.25</v>
      </c>
      <c r="N493" s="46"/>
      <c r="O493" s="41">
        <f t="shared" ca="1" si="325"/>
        <v>5</v>
      </c>
      <c r="Q493" s="44"/>
      <c r="S493" s="48">
        <f t="shared" si="254"/>
        <v>0</v>
      </c>
      <c r="T493" s="48">
        <f t="shared" ca="1" si="356"/>
        <v>763000</v>
      </c>
      <c r="W493" s="28">
        <v>35</v>
      </c>
      <c r="X493" s="105">
        <v>1.39</v>
      </c>
      <c r="Y493" s="105">
        <v>9.25</v>
      </c>
      <c r="Z493" s="73" t="s">
        <v>956</v>
      </c>
      <c r="AA493" s="28"/>
    </row>
    <row r="494" spans="1:27" x14ac:dyDescent="0.25">
      <c r="A494" s="4"/>
      <c r="B494" s="98" t="s">
        <v>873</v>
      </c>
      <c r="C494" s="75" t="s">
        <v>872</v>
      </c>
      <c r="D494" s="28" t="s">
        <v>814</v>
      </c>
      <c r="E494" s="28">
        <f t="shared" si="355"/>
        <v>92108</v>
      </c>
      <c r="F494" s="143" t="str">
        <f>INDEX(PV_Summary!$B$18:$B$118,MATCH($E494,PV_Summary!$A$18:$A$118,0))</f>
        <v>S</v>
      </c>
      <c r="G494" s="123">
        <v>32.765534000000002</v>
      </c>
      <c r="H494" s="61">
        <v>-117.157225</v>
      </c>
      <c r="I494" s="44" t="s">
        <v>37</v>
      </c>
      <c r="J494" s="46">
        <f t="shared" si="357"/>
        <v>0.75</v>
      </c>
      <c r="K494" s="100"/>
      <c r="L494" s="44" t="str">
        <f t="shared" si="358"/>
        <v/>
      </c>
      <c r="M494" s="46">
        <f t="shared" si="359"/>
        <v>0.75</v>
      </c>
      <c r="N494" s="46"/>
      <c r="O494" s="41">
        <f t="shared" si="325"/>
        <v>0</v>
      </c>
      <c r="P494" s="42">
        <v>18000</v>
      </c>
      <c r="Q494" s="44" t="s">
        <v>37</v>
      </c>
      <c r="R494" s="28" t="s">
        <v>55</v>
      </c>
      <c r="S494" s="48">
        <f t="shared" si="254"/>
        <v>126000</v>
      </c>
      <c r="T494" s="48">
        <f t="shared" si="356"/>
        <v>0</v>
      </c>
      <c r="W494" s="28">
        <v>35</v>
      </c>
      <c r="X494" s="105">
        <v>1.39</v>
      </c>
      <c r="Y494" s="105">
        <v>9.25</v>
      </c>
      <c r="Z494" s="73" t="s">
        <v>956</v>
      </c>
      <c r="AA494" s="28">
        <v>50</v>
      </c>
    </row>
    <row r="495" spans="1:27" x14ac:dyDescent="0.25">
      <c r="A495" s="4"/>
      <c r="B495" s="122" t="s">
        <v>874</v>
      </c>
      <c r="C495" s="75" t="s">
        <v>872</v>
      </c>
      <c r="D495" s="28" t="s">
        <v>814</v>
      </c>
      <c r="E495" s="28">
        <f t="shared" si="355"/>
        <v>92108</v>
      </c>
      <c r="F495" s="143" t="str">
        <f>INDEX(PV_Summary!$B$18:$B$118,MATCH($E495,PV_Summary!$A$18:$A$118,0))</f>
        <v>S</v>
      </c>
      <c r="G495" s="123">
        <v>32.766185</v>
      </c>
      <c r="H495" s="61">
        <v>-117.157426</v>
      </c>
      <c r="I495" s="44" t="s">
        <v>37</v>
      </c>
      <c r="J495" s="46">
        <f t="shared" si="357"/>
        <v>0.75</v>
      </c>
      <c r="K495" s="100"/>
      <c r="L495" s="44" t="str">
        <f t="shared" si="358"/>
        <v/>
      </c>
      <c r="M495" s="46">
        <f t="shared" si="359"/>
        <v>0.75</v>
      </c>
      <c r="N495" s="46"/>
      <c r="O495" s="41">
        <f t="shared" si="325"/>
        <v>0</v>
      </c>
      <c r="P495" s="42">
        <v>8000</v>
      </c>
      <c r="Q495" s="44" t="s">
        <v>37</v>
      </c>
      <c r="R495" s="28" t="s">
        <v>55</v>
      </c>
      <c r="S495" s="48">
        <f t="shared" si="254"/>
        <v>56000</v>
      </c>
      <c r="T495" s="48">
        <f t="shared" si="356"/>
        <v>0</v>
      </c>
      <c r="W495" s="28">
        <v>35</v>
      </c>
      <c r="X495" s="105">
        <v>1.39</v>
      </c>
      <c r="Y495" s="105">
        <v>9.25</v>
      </c>
      <c r="Z495" s="73" t="s">
        <v>956</v>
      </c>
      <c r="AA495" s="28">
        <v>50</v>
      </c>
    </row>
    <row r="496" spans="1:27" x14ac:dyDescent="0.25">
      <c r="A496" s="4"/>
      <c r="B496" s="98" t="s">
        <v>875</v>
      </c>
      <c r="C496" s="75" t="s">
        <v>872</v>
      </c>
      <c r="D496" s="28" t="s">
        <v>814</v>
      </c>
      <c r="E496" s="28">
        <f t="shared" si="355"/>
        <v>92108</v>
      </c>
      <c r="F496" s="143" t="str">
        <f>INDEX(PV_Summary!$B$18:$B$118,MATCH($E496,PV_Summary!$A$18:$A$118,0))</f>
        <v>S</v>
      </c>
      <c r="G496" s="123">
        <v>32.766854000000002</v>
      </c>
      <c r="H496" s="61">
        <v>-117.15772699999999</v>
      </c>
      <c r="I496" s="44" t="s">
        <v>37</v>
      </c>
      <c r="J496" s="46">
        <f t="shared" si="357"/>
        <v>0.75</v>
      </c>
      <c r="K496" s="100"/>
      <c r="L496" s="44" t="str">
        <f t="shared" si="358"/>
        <v/>
      </c>
      <c r="M496" s="46">
        <f t="shared" si="359"/>
        <v>0.75</v>
      </c>
      <c r="N496" s="46"/>
      <c r="O496" s="41">
        <f t="shared" si="325"/>
        <v>0</v>
      </c>
      <c r="P496" s="42">
        <v>6000</v>
      </c>
      <c r="Q496" s="44" t="s">
        <v>37</v>
      </c>
      <c r="R496" s="28" t="s">
        <v>55</v>
      </c>
      <c r="S496" s="48">
        <f t="shared" si="254"/>
        <v>42000</v>
      </c>
      <c r="T496" s="48">
        <f t="shared" si="356"/>
        <v>0</v>
      </c>
      <c r="W496" s="28">
        <v>35</v>
      </c>
      <c r="X496" s="105">
        <v>1.39</v>
      </c>
      <c r="Y496" s="105">
        <v>9.25</v>
      </c>
      <c r="Z496" s="73" t="s">
        <v>956</v>
      </c>
      <c r="AA496" s="28">
        <v>50</v>
      </c>
    </row>
    <row r="497" spans="1:27" x14ac:dyDescent="0.25">
      <c r="A497" s="4"/>
      <c r="B497" s="98" t="s">
        <v>876</v>
      </c>
      <c r="C497" s="75" t="s">
        <v>872</v>
      </c>
      <c r="D497" s="28" t="s">
        <v>814</v>
      </c>
      <c r="E497" s="28">
        <f t="shared" si="355"/>
        <v>92108</v>
      </c>
      <c r="F497" s="143" t="str">
        <f>INDEX(PV_Summary!$B$18:$B$118,MATCH($E497,PV_Summary!$A$18:$A$118,0))</f>
        <v>S</v>
      </c>
      <c r="G497" s="123">
        <v>32.766705000000002</v>
      </c>
      <c r="H497" s="61">
        <v>-117.157629</v>
      </c>
      <c r="I497" s="44" t="s">
        <v>3</v>
      </c>
      <c r="J497" s="46">
        <f t="shared" si="357"/>
        <v>0.75</v>
      </c>
      <c r="K497" s="100"/>
      <c r="L497" s="44" t="str">
        <f t="shared" si="358"/>
        <v/>
      </c>
      <c r="M497" s="46">
        <f t="shared" si="359"/>
        <v>0.75</v>
      </c>
      <c r="N497" s="46"/>
      <c r="O497" s="41">
        <f t="shared" si="325"/>
        <v>0</v>
      </c>
      <c r="P497" s="42">
        <v>77000</v>
      </c>
      <c r="Q497" s="44" t="s">
        <v>3</v>
      </c>
      <c r="R497" s="28" t="s">
        <v>55</v>
      </c>
      <c r="S497" s="48">
        <f t="shared" si="254"/>
        <v>539000</v>
      </c>
      <c r="T497" s="48">
        <f t="shared" si="356"/>
        <v>0</v>
      </c>
      <c r="W497" s="28">
        <v>35</v>
      </c>
      <c r="X497" s="105">
        <v>1.39</v>
      </c>
      <c r="Y497" s="105">
        <v>9.25</v>
      </c>
      <c r="Z497" s="73" t="s">
        <v>956</v>
      </c>
      <c r="AA497" s="28">
        <v>150</v>
      </c>
    </row>
    <row r="498" spans="1:27" x14ac:dyDescent="0.25">
      <c r="A498" s="4"/>
      <c r="B498" s="62" t="s">
        <v>849</v>
      </c>
      <c r="C498" s="75" t="s">
        <v>850</v>
      </c>
      <c r="D498" s="28" t="s">
        <v>814</v>
      </c>
      <c r="E498" s="28">
        <f t="shared" si="355"/>
        <v>92108</v>
      </c>
      <c r="F498" s="143" t="str">
        <f>INDEX(PV_Summary!$B$18:$B$118,MATCH($E498,PV_Summary!$A$18:$A$118,0))</f>
        <v>S</v>
      </c>
      <c r="G498" s="123">
        <v>32.770749000000002</v>
      </c>
      <c r="H498" s="61">
        <v>-117.15027000000001</v>
      </c>
      <c r="I498" s="44" t="s">
        <v>62</v>
      </c>
      <c r="J498" s="46">
        <f t="shared" ca="1" si="357"/>
        <v>1.5</v>
      </c>
      <c r="K498" s="100"/>
      <c r="L498" s="44" t="str">
        <f t="shared" ca="1" si="358"/>
        <v>Total</v>
      </c>
      <c r="M498" s="46">
        <f t="shared" ca="1" si="359"/>
        <v>1.25</v>
      </c>
      <c r="N498" s="46"/>
      <c r="O498" s="41">
        <f t="shared" ca="1" si="325"/>
        <v>7</v>
      </c>
      <c r="Q498" s="44"/>
      <c r="S498" s="48">
        <f t="shared" si="254"/>
        <v>0</v>
      </c>
      <c r="T498" s="48">
        <f t="shared" ca="1" si="356"/>
        <v>2268000</v>
      </c>
      <c r="W498" s="28" t="s">
        <v>604</v>
      </c>
      <c r="X498" s="105"/>
      <c r="Y498" s="105"/>
      <c r="Z498" s="73" t="s">
        <v>956</v>
      </c>
      <c r="AA498" s="28"/>
    </row>
    <row r="499" spans="1:27" x14ac:dyDescent="0.25">
      <c r="A499" s="4"/>
      <c r="B499" s="98" t="s">
        <v>851</v>
      </c>
      <c r="C499" s="75" t="s">
        <v>850</v>
      </c>
      <c r="D499" s="28" t="s">
        <v>814</v>
      </c>
      <c r="E499" s="28">
        <f t="shared" ref="E499:E504" si="360">RIGHT(TRIM(D499),5)*1</f>
        <v>92108</v>
      </c>
      <c r="F499" s="143" t="str">
        <f>INDEX(PV_Summary!$B$18:$B$118,MATCH($E499,PV_Summary!$A$18:$A$118,0))</f>
        <v>S</v>
      </c>
      <c r="G499" s="123">
        <v>32.771289000000003</v>
      </c>
      <c r="H499" s="61">
        <v>-117.14543999999999</v>
      </c>
      <c r="I499" s="44" t="s">
        <v>3</v>
      </c>
      <c r="J499" s="46">
        <f t="shared" si="357"/>
        <v>0.75</v>
      </c>
      <c r="K499" s="100"/>
      <c r="L499" s="44" t="str">
        <f t="shared" si="358"/>
        <v/>
      </c>
      <c r="M499" s="46">
        <f t="shared" si="359"/>
        <v>0.75</v>
      </c>
      <c r="N499" s="46"/>
      <c r="O499" s="41">
        <f t="shared" si="325"/>
        <v>0</v>
      </c>
      <c r="P499" s="42">
        <v>75000</v>
      </c>
      <c r="Q499" s="44" t="s">
        <v>3</v>
      </c>
      <c r="R499" s="28" t="s">
        <v>55</v>
      </c>
      <c r="S499" s="48">
        <f t="shared" si="254"/>
        <v>525000</v>
      </c>
      <c r="T499" s="48">
        <f t="shared" si="356"/>
        <v>0</v>
      </c>
      <c r="W499" s="28">
        <v>39</v>
      </c>
      <c r="X499" s="105">
        <v>1.5</v>
      </c>
      <c r="Y499" s="105">
        <v>9.98</v>
      </c>
      <c r="Z499" s="73" t="s">
        <v>956</v>
      </c>
      <c r="AA499" s="28">
        <v>0</v>
      </c>
    </row>
    <row r="500" spans="1:27" x14ac:dyDescent="0.25">
      <c r="A500" s="4"/>
      <c r="B500" s="98" t="s">
        <v>852</v>
      </c>
      <c r="C500" s="75" t="s">
        <v>850</v>
      </c>
      <c r="D500" s="28" t="s">
        <v>814</v>
      </c>
      <c r="E500" s="28">
        <f t="shared" si="360"/>
        <v>92108</v>
      </c>
      <c r="F500" s="143" t="str">
        <f>INDEX(PV_Summary!$B$18:$B$118,MATCH($E500,PV_Summary!$A$18:$A$118,0))</f>
        <v>S</v>
      </c>
      <c r="G500" s="123">
        <v>32.770890999999999</v>
      </c>
      <c r="H500" s="61">
        <v>-117.14815299999999</v>
      </c>
      <c r="I500" s="44" t="s">
        <v>3</v>
      </c>
      <c r="J500" s="46">
        <f>IF(O500&gt;1,Sym_Scl_Aggr_Parent,IF(O500&lt;1,Sym_Scl_Aggr_Child,Sym_Scl_Normal))</f>
        <v>0.75</v>
      </c>
      <c r="K500" s="100"/>
      <c r="L500" s="44" t="str">
        <f>IF(O500&gt;1,"Total","")</f>
        <v/>
      </c>
      <c r="M500" s="46">
        <f>IF(O500&gt;1,Label_Scl_Aggr_Parent,IF(O500&lt;1,Label_Scl_Aggr_Child,Label_Scl_Normal))</f>
        <v>0.75</v>
      </c>
      <c r="N500" s="46"/>
      <c r="O500" s="41">
        <f t="shared" si="325"/>
        <v>0</v>
      </c>
      <c r="P500" s="42">
        <v>27000</v>
      </c>
      <c r="Q500" s="44" t="s">
        <v>3</v>
      </c>
      <c r="R500" s="28" t="s">
        <v>55</v>
      </c>
      <c r="S500" s="48">
        <f t="shared" si="254"/>
        <v>189000</v>
      </c>
      <c r="T500" s="48">
        <f t="shared" si="356"/>
        <v>0</v>
      </c>
      <c r="W500" s="28">
        <v>39</v>
      </c>
      <c r="X500" s="105">
        <v>1.5</v>
      </c>
      <c r="Y500" s="105">
        <v>9.98</v>
      </c>
      <c r="Z500" s="73" t="s">
        <v>956</v>
      </c>
      <c r="AA500" s="28">
        <v>0</v>
      </c>
    </row>
    <row r="501" spans="1:27" x14ac:dyDescent="0.25">
      <c r="A501" s="4"/>
      <c r="B501" s="98" t="s">
        <v>853</v>
      </c>
      <c r="C501" s="75" t="s">
        <v>850</v>
      </c>
      <c r="D501" s="28" t="s">
        <v>814</v>
      </c>
      <c r="E501" s="28">
        <f t="shared" si="360"/>
        <v>92108</v>
      </c>
      <c r="F501" s="143" t="str">
        <f>INDEX(PV_Summary!$B$18:$B$118,MATCH($E501,PV_Summary!$A$18:$A$118,0))</f>
        <v>S</v>
      </c>
      <c r="G501" s="123">
        <v>32.770498000000003</v>
      </c>
      <c r="H501" s="61">
        <v>-117.14918299999999</v>
      </c>
      <c r="I501" s="44" t="s">
        <v>3</v>
      </c>
      <c r="J501" s="46">
        <f>IF(O501&gt;1,Sym_Scl_Aggr_Parent,IF(O501&lt;1,Sym_Scl_Aggr_Child,Sym_Scl_Normal))</f>
        <v>0.75</v>
      </c>
      <c r="K501" s="100"/>
      <c r="L501" s="44" t="str">
        <f>IF(O501&gt;1,"Total","")</f>
        <v/>
      </c>
      <c r="M501" s="46">
        <f>IF(O501&gt;1,Label_Scl_Aggr_Parent,IF(O501&lt;1,Label_Scl_Aggr_Child,Label_Scl_Normal))</f>
        <v>0.75</v>
      </c>
      <c r="N501" s="46"/>
      <c r="O501" s="41">
        <f t="shared" si="325"/>
        <v>0</v>
      </c>
      <c r="P501" s="42">
        <v>65000</v>
      </c>
      <c r="Q501" s="44" t="s">
        <v>3</v>
      </c>
      <c r="R501" s="28" t="s">
        <v>55</v>
      </c>
      <c r="S501" s="48">
        <f t="shared" si="254"/>
        <v>455000</v>
      </c>
      <c r="T501" s="48">
        <f t="shared" si="356"/>
        <v>0</v>
      </c>
      <c r="W501" s="28">
        <v>1060</v>
      </c>
      <c r="X501" s="105">
        <v>1.46</v>
      </c>
      <c r="Y501" s="105">
        <v>9.74</v>
      </c>
      <c r="Z501" s="73" t="s">
        <v>956</v>
      </c>
      <c r="AA501" s="28">
        <v>0</v>
      </c>
    </row>
    <row r="502" spans="1:27" x14ac:dyDescent="0.25">
      <c r="A502" s="4"/>
      <c r="B502" s="98" t="s">
        <v>854</v>
      </c>
      <c r="C502" s="75" t="s">
        <v>850</v>
      </c>
      <c r="D502" s="28" t="s">
        <v>814</v>
      </c>
      <c r="E502" s="28">
        <f t="shared" si="360"/>
        <v>92108</v>
      </c>
      <c r="F502" s="143" t="str">
        <f>INDEX(PV_Summary!$B$18:$B$118,MATCH($E502,PV_Summary!$A$18:$A$118,0))</f>
        <v>S</v>
      </c>
      <c r="G502" s="123">
        <v>32.769998000000001</v>
      </c>
      <c r="H502" s="61">
        <v>-117.15105200000001</v>
      </c>
      <c r="I502" s="44" t="s">
        <v>3</v>
      </c>
      <c r="J502" s="46">
        <f>IF(O502&gt;1,Sym_Scl_Aggr_Parent,IF(O502&lt;1,Sym_Scl_Aggr_Child,Sym_Scl_Normal))</f>
        <v>0.75</v>
      </c>
      <c r="K502" s="100"/>
      <c r="L502" s="44" t="str">
        <f>IF(O502&gt;1,"Total","")</f>
        <v/>
      </c>
      <c r="M502" s="46">
        <f>IF(O502&gt;1,Label_Scl_Aggr_Parent,IF(O502&lt;1,Label_Scl_Aggr_Child,Label_Scl_Normal))</f>
        <v>0.75</v>
      </c>
      <c r="N502" s="46"/>
      <c r="O502" s="41">
        <f t="shared" si="325"/>
        <v>0</v>
      </c>
      <c r="P502" s="42">
        <v>81000</v>
      </c>
      <c r="Q502" s="44" t="s">
        <v>3</v>
      </c>
      <c r="R502" s="28" t="s">
        <v>55</v>
      </c>
      <c r="S502" s="48">
        <f t="shared" si="254"/>
        <v>567000</v>
      </c>
      <c r="T502" s="48">
        <f t="shared" si="356"/>
        <v>0</v>
      </c>
      <c r="W502" s="28">
        <v>1060</v>
      </c>
      <c r="X502" s="105">
        <v>1.46</v>
      </c>
      <c r="Y502" s="105">
        <v>9.74</v>
      </c>
      <c r="Z502" s="73" t="s">
        <v>956</v>
      </c>
      <c r="AA502" s="28">
        <v>0</v>
      </c>
    </row>
    <row r="503" spans="1:27" x14ac:dyDescent="0.25">
      <c r="A503" s="4"/>
      <c r="B503" s="98" t="s">
        <v>855</v>
      </c>
      <c r="C503" s="75" t="s">
        <v>850</v>
      </c>
      <c r="D503" s="28" t="s">
        <v>814</v>
      </c>
      <c r="E503" s="28">
        <f t="shared" si="360"/>
        <v>92108</v>
      </c>
      <c r="F503" s="143" t="str">
        <f>INDEX(PV_Summary!$B$18:$B$118,MATCH($E503,PV_Summary!$A$18:$A$118,0))</f>
        <v>S</v>
      </c>
      <c r="G503" s="123">
        <v>32.769291000000003</v>
      </c>
      <c r="H503" s="61">
        <v>-117.153507</v>
      </c>
      <c r="I503" s="44" t="s">
        <v>3</v>
      </c>
      <c r="J503" s="46">
        <f>IF(O503&gt;1,Sym_Scl_Aggr_Parent,IF(O503&lt;1,Sym_Scl_Aggr_Child,Sym_Scl_Normal))</f>
        <v>0.75</v>
      </c>
      <c r="K503" s="100"/>
      <c r="L503" s="44" t="str">
        <f>IF(O503&gt;1,"Total","")</f>
        <v/>
      </c>
      <c r="M503" s="46">
        <f>IF(O503&gt;1,Label_Scl_Aggr_Parent,IF(O503&lt;1,Label_Scl_Aggr_Child,Label_Scl_Normal))</f>
        <v>0.75</v>
      </c>
      <c r="N503" s="46"/>
      <c r="O503" s="41">
        <f t="shared" si="325"/>
        <v>0</v>
      </c>
      <c r="P503" s="42">
        <v>58000</v>
      </c>
      <c r="Q503" s="44" t="s">
        <v>3</v>
      </c>
      <c r="R503" s="28" t="s">
        <v>55</v>
      </c>
      <c r="S503" s="48">
        <f t="shared" si="254"/>
        <v>406000</v>
      </c>
      <c r="T503" s="48">
        <f t="shared" si="356"/>
        <v>0</v>
      </c>
      <c r="W503" s="28">
        <v>35</v>
      </c>
      <c r="X503" s="105">
        <v>1.39</v>
      </c>
      <c r="Y503" s="105">
        <v>9.25</v>
      </c>
      <c r="Z503" s="73" t="s">
        <v>956</v>
      </c>
      <c r="AA503" s="28">
        <v>0</v>
      </c>
    </row>
    <row r="504" spans="1:27" x14ac:dyDescent="0.25">
      <c r="A504" s="4"/>
      <c r="B504" s="98" t="s">
        <v>856</v>
      </c>
      <c r="C504" s="75" t="s">
        <v>850</v>
      </c>
      <c r="D504" s="28" t="s">
        <v>814</v>
      </c>
      <c r="E504" s="28">
        <f t="shared" si="360"/>
        <v>92108</v>
      </c>
      <c r="F504" s="143" t="str">
        <f>INDEX(PV_Summary!$B$18:$B$118,MATCH($E504,PV_Summary!$A$18:$A$118,0))</f>
        <v>S</v>
      </c>
      <c r="G504" s="123">
        <v>32.768847000000001</v>
      </c>
      <c r="H504" s="61">
        <v>-117.152992</v>
      </c>
      <c r="I504" s="44" t="s">
        <v>3</v>
      </c>
      <c r="J504" s="46">
        <f>IF(O504&gt;1,Sym_Scl_Aggr_Parent,IF(O504&lt;1,Sym_Scl_Aggr_Child,Sym_Scl_Normal))</f>
        <v>0.75</v>
      </c>
      <c r="K504" s="100"/>
      <c r="L504" s="44" t="str">
        <f>IF(O504&gt;1,"Total","")</f>
        <v/>
      </c>
      <c r="M504" s="46">
        <f>IF(O504&gt;1,Label_Scl_Aggr_Parent,IF(O504&lt;1,Label_Scl_Aggr_Child,Label_Scl_Normal))</f>
        <v>0.75</v>
      </c>
      <c r="N504" s="46"/>
      <c r="O504" s="41">
        <f t="shared" si="325"/>
        <v>0</v>
      </c>
      <c r="P504" s="42">
        <v>18000</v>
      </c>
      <c r="Q504" s="44" t="s">
        <v>3</v>
      </c>
      <c r="R504" s="28" t="s">
        <v>55</v>
      </c>
      <c r="S504" s="48">
        <f t="shared" si="254"/>
        <v>126000</v>
      </c>
      <c r="T504" s="48">
        <f t="shared" si="356"/>
        <v>0</v>
      </c>
      <c r="W504" s="28">
        <v>1060</v>
      </c>
      <c r="X504" s="105">
        <v>1.46</v>
      </c>
      <c r="Y504" s="105">
        <v>9.74</v>
      </c>
      <c r="Z504" s="73" t="s">
        <v>956</v>
      </c>
      <c r="AA504" s="28">
        <v>0</v>
      </c>
    </row>
    <row r="505" spans="1:27" x14ac:dyDescent="0.25">
      <c r="A505" s="4"/>
      <c r="B505" s="62" t="s">
        <v>827</v>
      </c>
      <c r="C505" s="75" t="s">
        <v>828</v>
      </c>
      <c r="D505" s="28" t="s">
        <v>814</v>
      </c>
      <c r="E505" s="28">
        <f>RIGHT(TRIM(D505),5)*1</f>
        <v>92108</v>
      </c>
      <c r="F505" s="143" t="str">
        <f>INDEX(PV_Summary!$B$18:$B$118,MATCH($E505,PV_Summary!$A$18:$A$118,0))</f>
        <v>S</v>
      </c>
      <c r="G505" s="123">
        <v>32.781466999999999</v>
      </c>
      <c r="H505" s="61">
        <v>-117.12789100000001</v>
      </c>
      <c r="I505" s="44" t="s">
        <v>62</v>
      </c>
      <c r="J505" s="46">
        <f t="shared" ref="J505:J512" ca="1" si="361">IF(O505&gt;1,Sym_Scl_Aggr_Parent,IF(O505&lt;1,Sym_Scl_Aggr_Child,Sym_Scl_Normal))</f>
        <v>1.5</v>
      </c>
      <c r="K505" s="100"/>
      <c r="L505" s="44" t="str">
        <f t="shared" ref="L505:L512" ca="1" si="362">IF(O505&gt;1,"Total","")</f>
        <v>Total</v>
      </c>
      <c r="M505" s="46">
        <f t="shared" ref="M505:M512" ca="1" si="363">IF(O505&gt;1,Label_Scl_Aggr_Parent,IF(O505&lt;1,Label_Scl_Aggr_Child,Label_Scl_Normal))</f>
        <v>1.25</v>
      </c>
      <c r="N505" s="46"/>
      <c r="O505" s="41">
        <f t="shared" ca="1" si="325"/>
        <v>7</v>
      </c>
      <c r="Q505" s="44"/>
      <c r="S505" s="48">
        <f t="shared" ref="S505:S535" si="364">IF(ISNUMBER(FIND("Existing",$Q505)),0,IF($P505=0,0,INDEX(PV_W_Type_Rating_Tbl,MATCH($Q505,PV_Type_List,0),MATCH($R505,Rating_List,0)+4*DC_AC_Num)*$P505))</f>
        <v>0</v>
      </c>
      <c r="T505" s="48">
        <f t="shared" ca="1" si="356"/>
        <v>6202000</v>
      </c>
      <c r="W505" s="28" t="s">
        <v>604</v>
      </c>
      <c r="X505" s="105"/>
      <c r="Y505" s="105"/>
      <c r="Z505" s="73" t="s">
        <v>955</v>
      </c>
      <c r="AA505" s="28"/>
    </row>
    <row r="506" spans="1:27" x14ac:dyDescent="0.25">
      <c r="A506" s="4"/>
      <c r="B506" s="98" t="s">
        <v>541</v>
      </c>
      <c r="C506" s="75" t="s">
        <v>828</v>
      </c>
      <c r="D506" s="28" t="s">
        <v>814</v>
      </c>
      <c r="E506" s="28">
        <f t="shared" ref="E506:E542" si="365">RIGHT(TRIM(D506),5)*1</f>
        <v>92108</v>
      </c>
      <c r="F506" s="143" t="str">
        <f>INDEX(PV_Summary!$B$18:$B$118,MATCH($E506,PV_Summary!$A$18:$A$118,0))</f>
        <v>S</v>
      </c>
      <c r="G506" s="123">
        <v>32.782488000000001</v>
      </c>
      <c r="H506" s="61">
        <v>-117.128518</v>
      </c>
      <c r="I506" s="44" t="s">
        <v>210</v>
      </c>
      <c r="J506" s="46">
        <f t="shared" si="361"/>
        <v>0.75</v>
      </c>
      <c r="K506" s="100" t="s">
        <v>157</v>
      </c>
      <c r="L506" s="44" t="str">
        <f t="shared" si="362"/>
        <v/>
      </c>
      <c r="M506" s="46">
        <f t="shared" si="363"/>
        <v>0.75</v>
      </c>
      <c r="N506" s="46"/>
      <c r="O506" s="41">
        <f t="shared" si="325"/>
        <v>0</v>
      </c>
      <c r="Q506" s="44" t="s">
        <v>172</v>
      </c>
      <c r="S506" s="48">
        <f t="shared" si="364"/>
        <v>0</v>
      </c>
      <c r="T506" s="48">
        <f t="shared" si="356"/>
        <v>0</v>
      </c>
      <c r="W506" s="28"/>
      <c r="X506" s="105"/>
      <c r="Y506" s="105"/>
      <c r="Z506" s="73"/>
      <c r="AA506" s="28"/>
    </row>
    <row r="507" spans="1:27" x14ac:dyDescent="0.25">
      <c r="A507" s="4"/>
      <c r="B507" s="98" t="s">
        <v>829</v>
      </c>
      <c r="C507" s="75" t="s">
        <v>828</v>
      </c>
      <c r="D507" s="28" t="s">
        <v>814</v>
      </c>
      <c r="E507" s="28">
        <f t="shared" si="365"/>
        <v>92108</v>
      </c>
      <c r="F507" s="143" t="str">
        <f>INDEX(PV_Summary!$B$18:$B$118,MATCH($E507,PV_Summary!$A$18:$A$118,0))</f>
        <v>S</v>
      </c>
      <c r="G507" s="123">
        <v>32.781286999999999</v>
      </c>
      <c r="H507" s="61">
        <v>-117.12955599999999</v>
      </c>
      <c r="I507" s="44" t="s">
        <v>3</v>
      </c>
      <c r="J507" s="46">
        <f t="shared" si="361"/>
        <v>0.75</v>
      </c>
      <c r="K507" s="100"/>
      <c r="L507" s="44" t="str">
        <f t="shared" si="362"/>
        <v/>
      </c>
      <c r="M507" s="46">
        <f t="shared" si="363"/>
        <v>0.75</v>
      </c>
      <c r="N507" s="46"/>
      <c r="O507" s="41">
        <f t="shared" si="325"/>
        <v>0</v>
      </c>
      <c r="P507" s="42">
        <v>258000</v>
      </c>
      <c r="Q507" s="44" t="s">
        <v>3</v>
      </c>
      <c r="R507" s="28" t="s">
        <v>55</v>
      </c>
      <c r="S507" s="48">
        <f t="shared" si="364"/>
        <v>1806000</v>
      </c>
      <c r="T507" s="48">
        <f t="shared" si="356"/>
        <v>0</v>
      </c>
      <c r="W507" s="28">
        <v>147</v>
      </c>
      <c r="X507" s="105">
        <v>1.37</v>
      </c>
      <c r="Y507" s="105">
        <v>9.1300000000000008</v>
      </c>
      <c r="Z507" s="73" t="s">
        <v>955</v>
      </c>
      <c r="AA507" s="28">
        <v>100</v>
      </c>
    </row>
    <row r="508" spans="1:27" x14ac:dyDescent="0.25">
      <c r="A508" s="4"/>
      <c r="B508" s="98" t="s">
        <v>830</v>
      </c>
      <c r="C508" s="75" t="s">
        <v>828</v>
      </c>
      <c r="D508" s="28" t="s">
        <v>814</v>
      </c>
      <c r="E508" s="28">
        <f t="shared" si="365"/>
        <v>92108</v>
      </c>
      <c r="F508" s="143" t="str">
        <f>INDEX(PV_Summary!$B$18:$B$118,MATCH($E508,PV_Summary!$A$18:$A$118,0))</f>
        <v>S</v>
      </c>
      <c r="G508" s="123">
        <v>32.780583999999998</v>
      </c>
      <c r="H508" s="61">
        <v>-117.12812099999999</v>
      </c>
      <c r="I508" s="44" t="s">
        <v>3</v>
      </c>
      <c r="J508" s="46">
        <f t="shared" si="361"/>
        <v>0.75</v>
      </c>
      <c r="K508" s="100"/>
      <c r="L508" s="44" t="str">
        <f t="shared" si="362"/>
        <v/>
      </c>
      <c r="M508" s="46">
        <f t="shared" si="363"/>
        <v>0.75</v>
      </c>
      <c r="N508" s="46"/>
      <c r="O508" s="41">
        <f t="shared" si="325"/>
        <v>0</v>
      </c>
      <c r="P508" s="42">
        <v>302000</v>
      </c>
      <c r="Q508" s="44" t="s">
        <v>3</v>
      </c>
      <c r="R508" s="28" t="s">
        <v>55</v>
      </c>
      <c r="S508" s="48">
        <f t="shared" si="364"/>
        <v>2114000</v>
      </c>
      <c r="T508" s="48">
        <f t="shared" si="356"/>
        <v>0</v>
      </c>
      <c r="W508" s="28">
        <v>147</v>
      </c>
      <c r="X508" s="105">
        <v>1.37</v>
      </c>
      <c r="Y508" s="105">
        <v>9.1300000000000008</v>
      </c>
      <c r="Z508" s="73" t="s">
        <v>955</v>
      </c>
      <c r="AA508" s="28">
        <v>300</v>
      </c>
    </row>
    <row r="509" spans="1:27" x14ac:dyDescent="0.25">
      <c r="A509" s="4"/>
      <c r="B509" s="98" t="s">
        <v>831</v>
      </c>
      <c r="C509" s="75" t="s">
        <v>828</v>
      </c>
      <c r="D509" s="28" t="s">
        <v>814</v>
      </c>
      <c r="E509" s="28">
        <f t="shared" si="365"/>
        <v>92108</v>
      </c>
      <c r="F509" s="143" t="str">
        <f>INDEX(PV_Summary!$B$18:$B$118,MATCH($E509,PV_Summary!$A$18:$A$118,0))</f>
        <v>S</v>
      </c>
      <c r="G509" s="123">
        <v>32.779632999999997</v>
      </c>
      <c r="H509" s="61">
        <v>-117.127506</v>
      </c>
      <c r="I509" s="44" t="s">
        <v>3</v>
      </c>
      <c r="J509" s="46">
        <f t="shared" si="361"/>
        <v>0.75</v>
      </c>
      <c r="K509" s="100"/>
      <c r="L509" s="44" t="str">
        <f t="shared" si="362"/>
        <v/>
      </c>
      <c r="M509" s="46">
        <f t="shared" si="363"/>
        <v>0.75</v>
      </c>
      <c r="N509" s="46"/>
      <c r="O509" s="41">
        <f t="shared" ref="O509:O572" si="366">IF($C509=$C508,0,COUNTIFS(Address,$C509))</f>
        <v>0</v>
      </c>
      <c r="P509" s="42">
        <v>35000</v>
      </c>
      <c r="Q509" s="44" t="s">
        <v>3</v>
      </c>
      <c r="R509" s="28" t="s">
        <v>55</v>
      </c>
      <c r="S509" s="48">
        <f t="shared" si="364"/>
        <v>245000</v>
      </c>
      <c r="T509" s="48">
        <f t="shared" si="356"/>
        <v>0</v>
      </c>
      <c r="W509" s="28">
        <v>146</v>
      </c>
      <c r="X509" s="105">
        <v>1.45</v>
      </c>
      <c r="Y509" s="105">
        <v>9.66</v>
      </c>
      <c r="Z509" s="73" t="s">
        <v>955</v>
      </c>
      <c r="AA509" s="28">
        <v>0</v>
      </c>
    </row>
    <row r="510" spans="1:27" x14ac:dyDescent="0.25">
      <c r="A510" s="4"/>
      <c r="B510" s="98" t="s">
        <v>832</v>
      </c>
      <c r="C510" s="75" t="s">
        <v>828</v>
      </c>
      <c r="D510" s="28" t="s">
        <v>814</v>
      </c>
      <c r="E510" s="28">
        <f t="shared" si="365"/>
        <v>92108</v>
      </c>
      <c r="F510" s="143" t="str">
        <f>INDEX(PV_Summary!$B$18:$B$118,MATCH($E510,PV_Summary!$A$18:$A$118,0))</f>
        <v>S</v>
      </c>
      <c r="G510" s="123">
        <v>32.781748999999998</v>
      </c>
      <c r="H510" s="61">
        <v>-117.126865</v>
      </c>
      <c r="I510" s="44" t="s">
        <v>3</v>
      </c>
      <c r="J510" s="46">
        <f t="shared" si="361"/>
        <v>0.75</v>
      </c>
      <c r="K510" s="100"/>
      <c r="L510" s="44" t="str">
        <f t="shared" si="362"/>
        <v/>
      </c>
      <c r="M510" s="46">
        <f t="shared" si="363"/>
        <v>0.75</v>
      </c>
      <c r="N510" s="46"/>
      <c r="O510" s="41">
        <f t="shared" si="366"/>
        <v>0</v>
      </c>
      <c r="P510" s="42">
        <v>165000</v>
      </c>
      <c r="Q510" s="44" t="s">
        <v>3</v>
      </c>
      <c r="R510" s="28" t="s">
        <v>55</v>
      </c>
      <c r="S510" s="48">
        <f t="shared" si="364"/>
        <v>1155000</v>
      </c>
      <c r="T510" s="48">
        <f t="shared" si="356"/>
        <v>0</v>
      </c>
      <c r="W510" s="28">
        <v>147</v>
      </c>
      <c r="X510" s="105">
        <v>1.37</v>
      </c>
      <c r="Y510" s="105">
        <v>9.1300000000000008</v>
      </c>
      <c r="Z510" s="73" t="s">
        <v>955</v>
      </c>
      <c r="AA510" s="28">
        <v>100</v>
      </c>
    </row>
    <row r="511" spans="1:27" x14ac:dyDescent="0.25">
      <c r="A511" s="4"/>
      <c r="B511" s="98" t="s">
        <v>833</v>
      </c>
      <c r="C511" s="75" t="s">
        <v>828</v>
      </c>
      <c r="D511" s="28" t="s">
        <v>814</v>
      </c>
      <c r="E511" s="28">
        <f t="shared" si="365"/>
        <v>92108</v>
      </c>
      <c r="F511" s="143" t="str">
        <f>INDEX(PV_Summary!$B$18:$B$118,MATCH($E511,PV_Summary!$A$18:$A$118,0))</f>
        <v>S</v>
      </c>
      <c r="G511" s="123">
        <v>32.781559999999999</v>
      </c>
      <c r="H511" s="61">
        <v>-117.12551999999999</v>
      </c>
      <c r="I511" s="44" t="s">
        <v>37</v>
      </c>
      <c r="J511" s="46">
        <f t="shared" si="361"/>
        <v>0.75</v>
      </c>
      <c r="K511" s="100"/>
      <c r="L511" s="44" t="str">
        <f t="shared" si="362"/>
        <v/>
      </c>
      <c r="M511" s="46">
        <f t="shared" si="363"/>
        <v>0.75</v>
      </c>
      <c r="N511" s="46"/>
      <c r="O511" s="41">
        <f t="shared" si="366"/>
        <v>0</v>
      </c>
      <c r="P511" s="42">
        <v>126000</v>
      </c>
      <c r="Q511" s="44" t="s">
        <v>37</v>
      </c>
      <c r="R511" s="28" t="s">
        <v>55</v>
      </c>
      <c r="S511" s="48">
        <f t="shared" si="364"/>
        <v>882000</v>
      </c>
      <c r="T511" s="48">
        <f t="shared" si="356"/>
        <v>0</v>
      </c>
      <c r="W511" s="28">
        <v>146</v>
      </c>
      <c r="X511" s="105">
        <v>1.45</v>
      </c>
      <c r="Y511" s="105">
        <v>9.66</v>
      </c>
      <c r="Z511" s="73" t="s">
        <v>955</v>
      </c>
      <c r="AA511" s="28">
        <v>0</v>
      </c>
    </row>
    <row r="512" spans="1:27" x14ac:dyDescent="0.25">
      <c r="A512" s="4"/>
      <c r="B512" s="62" t="s">
        <v>834</v>
      </c>
      <c r="C512" s="75" t="s">
        <v>835</v>
      </c>
      <c r="D512" s="28" t="s">
        <v>814</v>
      </c>
      <c r="E512" s="28">
        <f t="shared" si="365"/>
        <v>92108</v>
      </c>
      <c r="F512" s="143" t="str">
        <f>INDEX(PV_Summary!$B$18:$B$118,MATCH($E512,PV_Summary!$A$18:$A$118,0))</f>
        <v>S</v>
      </c>
      <c r="G512" s="123">
        <v>32.783532999999998</v>
      </c>
      <c r="H512" s="61">
        <v>-117.12573500000001</v>
      </c>
      <c r="I512" s="44" t="s">
        <v>69</v>
      </c>
      <c r="J512" s="46">
        <f t="shared" ca="1" si="361"/>
        <v>1.5</v>
      </c>
      <c r="K512" s="100"/>
      <c r="L512" s="44" t="str">
        <f t="shared" ca="1" si="362"/>
        <v>Total</v>
      </c>
      <c r="M512" s="46">
        <f t="shared" ca="1" si="363"/>
        <v>1.25</v>
      </c>
      <c r="N512" s="46"/>
      <c r="O512" s="41">
        <f t="shared" ca="1" si="366"/>
        <v>5</v>
      </c>
      <c r="Q512" s="44"/>
      <c r="S512" s="48">
        <f t="shared" si="364"/>
        <v>0</v>
      </c>
      <c r="T512" s="48">
        <f t="shared" ca="1" si="356"/>
        <v>1123500</v>
      </c>
      <c r="W512" s="28">
        <v>147</v>
      </c>
      <c r="X512" s="105">
        <v>1.37</v>
      </c>
      <c r="Y512" s="105">
        <v>9.1300000000000008</v>
      </c>
      <c r="Z512" s="73" t="s">
        <v>955</v>
      </c>
      <c r="AA512" s="28"/>
    </row>
    <row r="513" spans="1:27" x14ac:dyDescent="0.25">
      <c r="A513" s="4"/>
      <c r="B513" s="98" t="s">
        <v>836</v>
      </c>
      <c r="C513" s="75" t="s">
        <v>835</v>
      </c>
      <c r="D513" s="28" t="s">
        <v>814</v>
      </c>
      <c r="E513" s="28">
        <f t="shared" si="365"/>
        <v>92108</v>
      </c>
      <c r="F513" s="143" t="str">
        <f>INDEX(PV_Summary!$B$18:$B$118,MATCH($E513,PV_Summary!$A$18:$A$118,0))</f>
        <v>S</v>
      </c>
      <c r="G513" s="123">
        <v>32.783935</v>
      </c>
      <c r="H513" s="61">
        <v>-117.126188</v>
      </c>
      <c r="I513" s="44" t="s">
        <v>36</v>
      </c>
      <c r="J513" s="46">
        <f>IF(O513&gt;1,Sym_Scl_Aggr_Parent,IF(O513&lt;1,Sym_Scl_Aggr_Child,Sym_Scl_Normal))</f>
        <v>0.75</v>
      </c>
      <c r="K513" s="100"/>
      <c r="L513" s="44" t="str">
        <f>IF(O513&gt;1,"Total","")</f>
        <v/>
      </c>
      <c r="M513" s="46">
        <f>IF(O513&gt;1,Label_Scl_Aggr_Parent,IF(O513&lt;1,Label_Scl_Aggr_Child,Label_Scl_Normal))</f>
        <v>0.75</v>
      </c>
      <c r="N513" s="46"/>
      <c r="O513" s="41">
        <f t="shared" si="366"/>
        <v>0</v>
      </c>
      <c r="P513" s="42">
        <v>71000</v>
      </c>
      <c r="Q513" s="44" t="s">
        <v>36</v>
      </c>
      <c r="R513" s="28" t="s">
        <v>55</v>
      </c>
      <c r="S513" s="48">
        <f t="shared" si="364"/>
        <v>497000</v>
      </c>
      <c r="T513" s="48">
        <f t="shared" si="356"/>
        <v>0</v>
      </c>
      <c r="W513" s="28">
        <v>147</v>
      </c>
      <c r="X513" s="105">
        <v>1.37</v>
      </c>
      <c r="Y513" s="105">
        <v>9.1300000000000008</v>
      </c>
      <c r="Z513" s="73" t="s">
        <v>955</v>
      </c>
      <c r="AA513" s="28">
        <v>200</v>
      </c>
    </row>
    <row r="514" spans="1:27" x14ac:dyDescent="0.25">
      <c r="A514" s="4"/>
      <c r="B514" s="98" t="s">
        <v>837</v>
      </c>
      <c r="C514" s="75" t="s">
        <v>835</v>
      </c>
      <c r="D514" s="28" t="s">
        <v>814</v>
      </c>
      <c r="E514" s="28">
        <f t="shared" si="365"/>
        <v>92108</v>
      </c>
      <c r="F514" s="143" t="str">
        <f>INDEX(PV_Summary!$B$18:$B$118,MATCH($E514,PV_Summary!$A$18:$A$118,0))</f>
        <v>S</v>
      </c>
      <c r="G514" s="123">
        <v>32.782964999999997</v>
      </c>
      <c r="H514" s="61">
        <v>-117.125382</v>
      </c>
      <c r="I514" s="44" t="s">
        <v>36</v>
      </c>
      <c r="J514" s="46">
        <f>IF(O514&gt;1,Sym_Scl_Aggr_Parent,IF(O514&lt;1,Sym_Scl_Aggr_Child,Sym_Scl_Normal))</f>
        <v>0.75</v>
      </c>
      <c r="K514" s="100"/>
      <c r="L514" s="44" t="str">
        <f>IF(O514&gt;1,"Total","")</f>
        <v/>
      </c>
      <c r="M514" s="46">
        <f>IF(O514&gt;1,Label_Scl_Aggr_Parent,IF(O514&lt;1,Label_Scl_Aggr_Child,Label_Scl_Normal))</f>
        <v>0.75</v>
      </c>
      <c r="N514" s="46"/>
      <c r="O514" s="41">
        <f t="shared" si="366"/>
        <v>0</v>
      </c>
      <c r="P514" s="42">
        <v>63000</v>
      </c>
      <c r="Q514" s="44" t="s">
        <v>36</v>
      </c>
      <c r="R514" s="28" t="s">
        <v>55</v>
      </c>
      <c r="S514" s="48">
        <f t="shared" si="364"/>
        <v>441000</v>
      </c>
      <c r="T514" s="48">
        <f t="shared" si="356"/>
        <v>0</v>
      </c>
      <c r="W514" s="28">
        <v>147</v>
      </c>
      <c r="X514" s="105">
        <v>1.37</v>
      </c>
      <c r="Y514" s="105">
        <v>9.1300000000000008</v>
      </c>
      <c r="Z514" s="73" t="s">
        <v>955</v>
      </c>
      <c r="AA514" s="28">
        <v>300</v>
      </c>
    </row>
    <row r="515" spans="1:27" x14ac:dyDescent="0.25">
      <c r="A515" s="4"/>
      <c r="B515" s="98" t="s">
        <v>838</v>
      </c>
      <c r="C515" s="75" t="s">
        <v>835</v>
      </c>
      <c r="D515" s="28" t="s">
        <v>814</v>
      </c>
      <c r="E515" s="28">
        <f t="shared" si="365"/>
        <v>92108</v>
      </c>
      <c r="F515" s="143" t="str">
        <f>INDEX(PV_Summary!$B$18:$B$118,MATCH($E515,PV_Summary!$A$18:$A$118,0))</f>
        <v>S</v>
      </c>
      <c r="G515" s="123">
        <v>32.783973000000003</v>
      </c>
      <c r="H515" s="61">
        <v>-117.127242</v>
      </c>
      <c r="I515" s="44" t="s">
        <v>37</v>
      </c>
      <c r="J515" s="46">
        <f>IF(O515&gt;1,Sym_Scl_Aggr_Parent,IF(O515&lt;1,Sym_Scl_Aggr_Child,Sym_Scl_Normal))</f>
        <v>0.75</v>
      </c>
      <c r="K515" s="100"/>
      <c r="L515" s="44" t="str">
        <f>IF(O515&gt;1,"Total","")</f>
        <v/>
      </c>
      <c r="M515" s="46">
        <f>IF(O515&gt;1,Label_Scl_Aggr_Parent,IF(O515&lt;1,Label_Scl_Aggr_Child,Label_Scl_Normal))</f>
        <v>0.75</v>
      </c>
      <c r="N515" s="46"/>
      <c r="O515" s="41">
        <f t="shared" si="366"/>
        <v>0</v>
      </c>
      <c r="P515" s="42">
        <f>6300 + N("N") + 6500 + N("S")</f>
        <v>12800</v>
      </c>
      <c r="Q515" s="44" t="s">
        <v>37</v>
      </c>
      <c r="R515" s="28" t="s">
        <v>55</v>
      </c>
      <c r="S515" s="48">
        <f t="shared" si="364"/>
        <v>89600</v>
      </c>
      <c r="T515" s="48">
        <f t="shared" si="356"/>
        <v>0</v>
      </c>
      <c r="W515" s="28">
        <v>147</v>
      </c>
      <c r="X515" s="105">
        <v>1.37</v>
      </c>
      <c r="Y515" s="105">
        <v>9.1300000000000008</v>
      </c>
      <c r="Z515" s="73" t="s">
        <v>955</v>
      </c>
      <c r="AA515" s="28">
        <v>0</v>
      </c>
    </row>
    <row r="516" spans="1:27" x14ac:dyDescent="0.25">
      <c r="A516" s="4"/>
      <c r="B516" s="98" t="s">
        <v>839</v>
      </c>
      <c r="C516" s="75" t="s">
        <v>835</v>
      </c>
      <c r="D516" s="28" t="s">
        <v>814</v>
      </c>
      <c r="E516" s="28">
        <f t="shared" si="365"/>
        <v>92108</v>
      </c>
      <c r="F516" s="143" t="str">
        <f>INDEX(PV_Summary!$B$18:$B$118,MATCH($E516,PV_Summary!$A$18:$A$118,0))</f>
        <v>S</v>
      </c>
      <c r="G516" s="123">
        <v>32.782806999999998</v>
      </c>
      <c r="H516" s="61">
        <v>-117.126099</v>
      </c>
      <c r="I516" s="44" t="s">
        <v>37</v>
      </c>
      <c r="J516" s="46">
        <f>IF(O516&gt;1,Sym_Scl_Aggr_Parent,IF(O516&lt;1,Sym_Scl_Aggr_Child,Sym_Scl_Normal))</f>
        <v>0.75</v>
      </c>
      <c r="K516" s="100"/>
      <c r="L516" s="44" t="str">
        <f>IF(O516&gt;1,"Total","")</f>
        <v/>
      </c>
      <c r="M516" s="46">
        <f>IF(O516&gt;1,Label_Scl_Aggr_Parent,IF(O516&lt;1,Label_Scl_Aggr_Child,Label_Scl_Normal))</f>
        <v>0.75</v>
      </c>
      <c r="N516" s="46"/>
      <c r="O516" s="41">
        <f t="shared" si="366"/>
        <v>0</v>
      </c>
      <c r="P516" s="42">
        <f>6600 + N("NW") + 7100 + N("SE")</f>
        <v>13700</v>
      </c>
      <c r="Q516" s="44" t="s">
        <v>37</v>
      </c>
      <c r="R516" s="28" t="s">
        <v>55</v>
      </c>
      <c r="S516" s="48">
        <f t="shared" si="364"/>
        <v>95900</v>
      </c>
      <c r="T516" s="48">
        <f t="shared" si="356"/>
        <v>0</v>
      </c>
      <c r="W516" s="28">
        <v>147</v>
      </c>
      <c r="X516" s="105">
        <v>1.37</v>
      </c>
      <c r="Y516" s="105">
        <v>9.1300000000000008</v>
      </c>
      <c r="Z516" s="73" t="s">
        <v>955</v>
      </c>
      <c r="AA516" s="28">
        <v>50</v>
      </c>
    </row>
    <row r="517" spans="1:27" x14ac:dyDescent="0.25">
      <c r="A517" s="4"/>
      <c r="B517" s="62" t="s">
        <v>812</v>
      </c>
      <c r="C517" s="75" t="s">
        <v>813</v>
      </c>
      <c r="D517" s="28" t="s">
        <v>814</v>
      </c>
      <c r="E517" s="28">
        <f t="shared" si="365"/>
        <v>92108</v>
      </c>
      <c r="F517" s="143" t="str">
        <f>INDEX(PV_Summary!$B$18:$B$118,MATCH($E517,PV_Summary!$A$18:$A$118,0))</f>
        <v>S</v>
      </c>
      <c r="G517" s="123">
        <v>32.783009999999997</v>
      </c>
      <c r="H517" s="61">
        <v>-117.11956600000001</v>
      </c>
      <c r="I517" s="44" t="s">
        <v>302</v>
      </c>
      <c r="J517" s="46">
        <f t="shared" ref="J517:J529" ca="1" si="367">IF(O517&gt;1,Sym_Scl_Aggr_Parent,IF(O517&lt;1,Sym_Scl_Aggr_Child,Sym_Scl_Normal))</f>
        <v>1.5</v>
      </c>
      <c r="K517" s="158" t="s">
        <v>170</v>
      </c>
      <c r="L517" s="44" t="str">
        <f t="shared" ref="L517:L529" ca="1" si="368">IF(O517&gt;1,"Total","")</f>
        <v>Total</v>
      </c>
      <c r="M517" s="46">
        <f t="shared" ref="M517:M529" ca="1" si="369">IF(O517&gt;1,Label_Scl_Aggr_Parent,IF(O517&lt;1,Label_Scl_Aggr_Child,Label_Scl_Normal))</f>
        <v>1.25</v>
      </c>
      <c r="N517" s="46"/>
      <c r="O517" s="41">
        <f t="shared" ca="1" si="366"/>
        <v>13</v>
      </c>
      <c r="Q517" s="44"/>
      <c r="S517" s="48">
        <f t="shared" si="364"/>
        <v>0</v>
      </c>
      <c r="T517" s="48">
        <f t="shared" ca="1" si="356"/>
        <v>30450000</v>
      </c>
      <c r="W517" s="28"/>
      <c r="X517" s="105"/>
      <c r="Y517" s="105"/>
      <c r="Z517" s="73"/>
      <c r="AA517" s="28"/>
    </row>
    <row r="518" spans="1:27" x14ac:dyDescent="0.25">
      <c r="A518" s="4"/>
      <c r="B518" s="98" t="s">
        <v>815</v>
      </c>
      <c r="C518" s="75" t="s">
        <v>813</v>
      </c>
      <c r="D518" s="28" t="s">
        <v>814</v>
      </c>
      <c r="E518" s="28">
        <f t="shared" si="365"/>
        <v>92108</v>
      </c>
      <c r="F518" s="143" t="str">
        <f>INDEX(PV_Summary!$B$18:$B$118,MATCH($E518,PV_Summary!$A$18:$A$118,0))</f>
        <v>S</v>
      </c>
      <c r="G518" s="123">
        <v>32.784841999999998</v>
      </c>
      <c r="H518" s="61">
        <v>-117.118651</v>
      </c>
      <c r="I518" s="44" t="s">
        <v>3</v>
      </c>
      <c r="J518" s="46">
        <f t="shared" si="367"/>
        <v>0.75</v>
      </c>
      <c r="K518" s="100"/>
      <c r="L518" s="44" t="str">
        <f t="shared" si="368"/>
        <v/>
      </c>
      <c r="M518" s="46">
        <f t="shared" si="369"/>
        <v>0.75</v>
      </c>
      <c r="N518" s="46"/>
      <c r="O518" s="41">
        <f t="shared" si="366"/>
        <v>0</v>
      </c>
      <c r="P518" s="42">
        <v>146000</v>
      </c>
      <c r="Q518" s="44" t="s">
        <v>3</v>
      </c>
      <c r="R518" s="28" t="s">
        <v>55</v>
      </c>
      <c r="S518" s="48">
        <f t="shared" si="364"/>
        <v>1022000</v>
      </c>
      <c r="T518" s="48">
        <f t="shared" si="356"/>
        <v>0</v>
      </c>
      <c r="W518" s="28">
        <v>149</v>
      </c>
      <c r="X518" s="105">
        <v>1.5</v>
      </c>
      <c r="Y518" s="105">
        <v>10</v>
      </c>
      <c r="Z518" s="73" t="s">
        <v>955</v>
      </c>
      <c r="AA518" s="28">
        <v>0</v>
      </c>
    </row>
    <row r="519" spans="1:27" x14ac:dyDescent="0.25">
      <c r="A519" s="4"/>
      <c r="B519" s="98" t="s">
        <v>816</v>
      </c>
      <c r="C519" s="75" t="s">
        <v>813</v>
      </c>
      <c r="D519" s="28" t="s">
        <v>814</v>
      </c>
      <c r="E519" s="28">
        <f t="shared" si="365"/>
        <v>92108</v>
      </c>
      <c r="F519" s="143" t="str">
        <f>INDEX(PV_Summary!$B$18:$B$118,MATCH($E519,PV_Summary!$A$18:$A$118,0))</f>
        <v>S</v>
      </c>
      <c r="G519" s="123">
        <v>32.783973000000003</v>
      </c>
      <c r="H519" s="61">
        <v>-117.117518</v>
      </c>
      <c r="I519" s="44" t="s">
        <v>3</v>
      </c>
      <c r="J519" s="46">
        <f t="shared" si="367"/>
        <v>0.75</v>
      </c>
      <c r="K519" s="100"/>
      <c r="L519" s="44" t="str">
        <f t="shared" si="368"/>
        <v/>
      </c>
      <c r="M519" s="46">
        <f t="shared" si="369"/>
        <v>0.75</v>
      </c>
      <c r="N519" s="46"/>
      <c r="O519" s="41">
        <f t="shared" si="366"/>
        <v>0</v>
      </c>
      <c r="P519" s="42">
        <v>97000</v>
      </c>
      <c r="Q519" s="44" t="s">
        <v>3</v>
      </c>
      <c r="R519" s="28" t="s">
        <v>55</v>
      </c>
      <c r="S519" s="48">
        <f t="shared" si="364"/>
        <v>679000</v>
      </c>
      <c r="T519" s="48">
        <f t="shared" si="356"/>
        <v>0</v>
      </c>
      <c r="W519" s="28">
        <v>149</v>
      </c>
      <c r="X519" s="105">
        <v>1.5</v>
      </c>
      <c r="Y519" s="105">
        <v>10</v>
      </c>
      <c r="Z519" s="73" t="s">
        <v>955</v>
      </c>
      <c r="AA519" s="28">
        <v>0</v>
      </c>
    </row>
    <row r="520" spans="1:27" x14ac:dyDescent="0.25">
      <c r="A520" s="4"/>
      <c r="B520" s="98" t="s">
        <v>817</v>
      </c>
      <c r="C520" s="75" t="s">
        <v>813</v>
      </c>
      <c r="D520" s="28" t="s">
        <v>814</v>
      </c>
      <c r="E520" s="28">
        <f t="shared" si="365"/>
        <v>92108</v>
      </c>
      <c r="F520" s="143" t="str">
        <f>INDEX(PV_Summary!$B$18:$B$118,MATCH($E520,PV_Summary!$A$18:$A$118,0))</f>
        <v>S</v>
      </c>
      <c r="G520" s="123">
        <v>32.782392000000002</v>
      </c>
      <c r="H520" s="61">
        <v>-117.117654</v>
      </c>
      <c r="I520" s="44" t="s">
        <v>3</v>
      </c>
      <c r="J520" s="46">
        <f t="shared" si="367"/>
        <v>0.75</v>
      </c>
      <c r="K520" s="100"/>
      <c r="L520" s="44" t="str">
        <f t="shared" si="368"/>
        <v/>
      </c>
      <c r="M520" s="46">
        <f t="shared" si="369"/>
        <v>0.75</v>
      </c>
      <c r="N520" s="46"/>
      <c r="O520" s="41">
        <f t="shared" si="366"/>
        <v>0</v>
      </c>
      <c r="P520" s="42">
        <v>98000</v>
      </c>
      <c r="Q520" s="44" t="s">
        <v>3</v>
      </c>
      <c r="R520" s="28" t="s">
        <v>55</v>
      </c>
      <c r="S520" s="48">
        <f t="shared" si="364"/>
        <v>686000</v>
      </c>
      <c r="T520" s="48">
        <f t="shared" si="356"/>
        <v>0</v>
      </c>
      <c r="W520" s="102">
        <v>149</v>
      </c>
      <c r="X520" s="105">
        <v>1.5</v>
      </c>
      <c r="Y520" s="105">
        <v>10</v>
      </c>
      <c r="Z520" s="73" t="s">
        <v>955</v>
      </c>
      <c r="AA520" s="28">
        <v>0</v>
      </c>
    </row>
    <row r="521" spans="1:27" x14ac:dyDescent="0.25">
      <c r="A521" s="4"/>
      <c r="B521" s="98" t="s">
        <v>818</v>
      </c>
      <c r="C521" s="75" t="s">
        <v>813</v>
      </c>
      <c r="D521" s="28" t="s">
        <v>814</v>
      </c>
      <c r="E521" s="28">
        <f t="shared" si="365"/>
        <v>92108</v>
      </c>
      <c r="F521" s="143" t="str">
        <f>INDEX(PV_Summary!$B$18:$B$118,MATCH($E521,PV_Summary!$A$18:$A$118,0))</f>
        <v>S</v>
      </c>
      <c r="G521" s="123">
        <v>32.781365999999998</v>
      </c>
      <c r="H521" s="61">
        <v>-117.11863099999999</v>
      </c>
      <c r="I521" s="44" t="s">
        <v>3</v>
      </c>
      <c r="J521" s="46">
        <f t="shared" si="367"/>
        <v>0.75</v>
      </c>
      <c r="K521" s="100"/>
      <c r="L521" s="44" t="str">
        <f t="shared" si="368"/>
        <v/>
      </c>
      <c r="M521" s="46">
        <f t="shared" si="369"/>
        <v>0.75</v>
      </c>
      <c r="N521" s="46"/>
      <c r="O521" s="41">
        <f t="shared" si="366"/>
        <v>0</v>
      </c>
      <c r="P521" s="42">
        <v>60000</v>
      </c>
      <c r="Q521" s="44" t="s">
        <v>3</v>
      </c>
      <c r="R521" s="28" t="s">
        <v>55</v>
      </c>
      <c r="S521" s="48">
        <f t="shared" si="364"/>
        <v>420000</v>
      </c>
      <c r="T521" s="48">
        <f t="shared" ref="T521:T552" si="370">SUMIF($C:$C,$C521,$S:$S)*IF($O521&gt;=1,1,0)</f>
        <v>0</v>
      </c>
      <c r="W521" s="28">
        <v>704</v>
      </c>
      <c r="X521" s="105">
        <v>1.5</v>
      </c>
      <c r="Y521" s="105">
        <v>10</v>
      </c>
      <c r="Z521" s="73" t="s">
        <v>955</v>
      </c>
      <c r="AA521" s="28">
        <v>0</v>
      </c>
    </row>
    <row r="522" spans="1:27" x14ac:dyDescent="0.25">
      <c r="A522" s="4"/>
      <c r="B522" s="98" t="s">
        <v>819</v>
      </c>
      <c r="C522" s="75" t="s">
        <v>813</v>
      </c>
      <c r="D522" s="28" t="s">
        <v>814</v>
      </c>
      <c r="E522" s="28">
        <f t="shared" si="365"/>
        <v>92108</v>
      </c>
      <c r="F522" s="143" t="str">
        <f>INDEX(PV_Summary!$B$18:$B$118,MATCH($E522,PV_Summary!$A$18:$A$118,0))</f>
        <v>S</v>
      </c>
      <c r="G522" s="123">
        <v>32.781385</v>
      </c>
      <c r="H522" s="61">
        <v>-117.120569</v>
      </c>
      <c r="I522" s="44" t="s">
        <v>3</v>
      </c>
      <c r="J522" s="46">
        <f t="shared" si="367"/>
        <v>0.75</v>
      </c>
      <c r="K522" s="100"/>
      <c r="L522" s="44" t="str">
        <f t="shared" si="368"/>
        <v/>
      </c>
      <c r="M522" s="46">
        <f t="shared" si="369"/>
        <v>0.75</v>
      </c>
      <c r="N522" s="46"/>
      <c r="O522" s="41">
        <f t="shared" si="366"/>
        <v>0</v>
      </c>
      <c r="P522" s="42">
        <v>134000</v>
      </c>
      <c r="Q522" s="44" t="s">
        <v>3</v>
      </c>
      <c r="R522" s="28" t="s">
        <v>55</v>
      </c>
      <c r="S522" s="48">
        <f t="shared" si="364"/>
        <v>938000</v>
      </c>
      <c r="T522" s="48">
        <f t="shared" si="370"/>
        <v>0</v>
      </c>
      <c r="W522" s="28">
        <v>704</v>
      </c>
      <c r="X522" s="105">
        <v>1.5</v>
      </c>
      <c r="Y522" s="105">
        <v>10</v>
      </c>
      <c r="Z522" s="73" t="s">
        <v>955</v>
      </c>
      <c r="AA522" s="28">
        <v>150</v>
      </c>
    </row>
    <row r="523" spans="1:27" x14ac:dyDescent="0.25">
      <c r="A523" s="4"/>
      <c r="B523" s="98" t="s">
        <v>820</v>
      </c>
      <c r="C523" s="75" t="s">
        <v>813</v>
      </c>
      <c r="D523" s="28" t="s">
        <v>814</v>
      </c>
      <c r="E523" s="28">
        <f t="shared" si="365"/>
        <v>92108</v>
      </c>
      <c r="F523" s="143" t="str">
        <f>INDEX(PV_Summary!$B$18:$B$118,MATCH($E523,PV_Summary!$A$18:$A$118,0))</f>
        <v>S</v>
      </c>
      <c r="G523" s="123">
        <v>32.782359</v>
      </c>
      <c r="H523" s="61">
        <v>-117.12169799999999</v>
      </c>
      <c r="I523" s="44" t="s">
        <v>3</v>
      </c>
      <c r="J523" s="46">
        <f t="shared" si="367"/>
        <v>0.75</v>
      </c>
      <c r="K523" s="100"/>
      <c r="L523" s="44" t="str">
        <f t="shared" si="368"/>
        <v/>
      </c>
      <c r="M523" s="46">
        <f t="shared" si="369"/>
        <v>0.75</v>
      </c>
      <c r="N523" s="46"/>
      <c r="O523" s="41">
        <f t="shared" si="366"/>
        <v>0</v>
      </c>
      <c r="P523" s="42">
        <v>148000</v>
      </c>
      <c r="Q523" s="44" t="s">
        <v>3</v>
      </c>
      <c r="R523" s="28" t="s">
        <v>55</v>
      </c>
      <c r="S523" s="48">
        <f t="shared" si="364"/>
        <v>1036000</v>
      </c>
      <c r="T523" s="48">
        <f t="shared" si="370"/>
        <v>0</v>
      </c>
      <c r="W523" s="28">
        <v>362</v>
      </c>
      <c r="X523" s="105">
        <v>1.41</v>
      </c>
      <c r="Y523" s="105">
        <v>9.41</v>
      </c>
      <c r="Z523" s="73" t="s">
        <v>957</v>
      </c>
      <c r="AA523" s="28">
        <v>0</v>
      </c>
    </row>
    <row r="524" spans="1:27" x14ac:dyDescent="0.25">
      <c r="A524" s="4"/>
      <c r="B524" s="98" t="s">
        <v>821</v>
      </c>
      <c r="C524" s="75" t="s">
        <v>813</v>
      </c>
      <c r="D524" s="28" t="s">
        <v>814</v>
      </c>
      <c r="E524" s="28">
        <f t="shared" si="365"/>
        <v>92108</v>
      </c>
      <c r="F524" s="143" t="str">
        <f>INDEX(PV_Summary!$B$18:$B$118,MATCH($E524,PV_Summary!$A$18:$A$118,0))</f>
        <v>S</v>
      </c>
      <c r="G524" s="123">
        <v>32.783847000000002</v>
      </c>
      <c r="H524" s="61">
        <v>-117.121785</v>
      </c>
      <c r="I524" s="44" t="s">
        <v>3</v>
      </c>
      <c r="J524" s="46">
        <f t="shared" si="367"/>
        <v>0.75</v>
      </c>
      <c r="K524" s="100"/>
      <c r="L524" s="44" t="str">
        <f t="shared" si="368"/>
        <v/>
      </c>
      <c r="M524" s="46">
        <f t="shared" si="369"/>
        <v>0.75</v>
      </c>
      <c r="N524" s="46"/>
      <c r="O524" s="41">
        <f t="shared" si="366"/>
        <v>0</v>
      </c>
      <c r="P524" s="42">
        <v>112000</v>
      </c>
      <c r="Q524" s="44" t="s">
        <v>3</v>
      </c>
      <c r="R524" s="28" t="s">
        <v>55</v>
      </c>
      <c r="S524" s="48">
        <f t="shared" si="364"/>
        <v>784000</v>
      </c>
      <c r="T524" s="48">
        <f t="shared" si="370"/>
        <v>0</v>
      </c>
      <c r="W524" s="28">
        <v>149</v>
      </c>
      <c r="X524" s="105">
        <v>1.5</v>
      </c>
      <c r="Y524" s="105">
        <v>10</v>
      </c>
      <c r="Z524" s="73" t="s">
        <v>955</v>
      </c>
      <c r="AA524" s="28">
        <v>0</v>
      </c>
    </row>
    <row r="525" spans="1:27" x14ac:dyDescent="0.25">
      <c r="A525" s="4"/>
      <c r="B525" s="98" t="s">
        <v>822</v>
      </c>
      <c r="C525" s="75" t="s">
        <v>813</v>
      </c>
      <c r="D525" s="28" t="s">
        <v>814</v>
      </c>
      <c r="E525" s="28">
        <f t="shared" si="365"/>
        <v>92108</v>
      </c>
      <c r="F525" s="143" t="str">
        <f>INDEX(PV_Summary!$B$18:$B$118,MATCH($E525,PV_Summary!$A$18:$A$118,0))</f>
        <v>S</v>
      </c>
      <c r="G525" s="123">
        <v>32.784920999999997</v>
      </c>
      <c r="H525" s="61">
        <v>-117.120467</v>
      </c>
      <c r="I525" s="44" t="s">
        <v>3</v>
      </c>
      <c r="J525" s="46">
        <f t="shared" si="367"/>
        <v>0.75</v>
      </c>
      <c r="K525" s="100"/>
      <c r="L525" s="44" t="str">
        <f t="shared" si="368"/>
        <v/>
      </c>
      <c r="M525" s="46">
        <f t="shared" si="369"/>
        <v>0.75</v>
      </c>
      <c r="N525" s="46"/>
      <c r="O525" s="41">
        <f t="shared" si="366"/>
        <v>0</v>
      </c>
      <c r="P525" s="42">
        <v>143000</v>
      </c>
      <c r="Q525" s="44" t="s">
        <v>3</v>
      </c>
      <c r="R525" s="28" t="s">
        <v>55</v>
      </c>
      <c r="S525" s="48">
        <f t="shared" si="364"/>
        <v>1001000</v>
      </c>
      <c r="T525" s="48">
        <f t="shared" si="370"/>
        <v>0</v>
      </c>
      <c r="W525" s="28">
        <v>149</v>
      </c>
      <c r="X525" s="105">
        <v>1.5</v>
      </c>
      <c r="Y525" s="105">
        <v>10</v>
      </c>
      <c r="Z525" s="73" t="s">
        <v>955</v>
      </c>
      <c r="AA525" s="28">
        <v>0</v>
      </c>
    </row>
    <row r="526" spans="1:27" x14ac:dyDescent="0.25">
      <c r="A526" s="4"/>
      <c r="B526" s="98" t="s">
        <v>823</v>
      </c>
      <c r="C526" s="75" t="s">
        <v>813</v>
      </c>
      <c r="D526" s="28" t="s">
        <v>814</v>
      </c>
      <c r="E526" s="28">
        <f t="shared" si="365"/>
        <v>92108</v>
      </c>
      <c r="F526" s="143" t="str">
        <f>INDEX(PV_Summary!$B$18:$B$118,MATCH($E526,PV_Summary!$A$18:$A$118,0))</f>
        <v>S</v>
      </c>
      <c r="G526" s="123">
        <v>32.785606999999999</v>
      </c>
      <c r="H526" s="61">
        <v>-117.11695</v>
      </c>
      <c r="I526" s="44" t="s">
        <v>3</v>
      </c>
      <c r="J526" s="46">
        <f t="shared" si="367"/>
        <v>0.75</v>
      </c>
      <c r="K526" s="100"/>
      <c r="L526" s="44" t="str">
        <f t="shared" si="368"/>
        <v/>
      </c>
      <c r="M526" s="46">
        <f t="shared" si="369"/>
        <v>0.75</v>
      </c>
      <c r="N526" s="46"/>
      <c r="O526" s="41">
        <f t="shared" si="366"/>
        <v>0</v>
      </c>
      <c r="P526" s="42">
        <v>790000</v>
      </c>
      <c r="Q526" s="44" t="s">
        <v>3</v>
      </c>
      <c r="R526" s="28" t="s">
        <v>55</v>
      </c>
      <c r="S526" s="48">
        <f t="shared" si="364"/>
        <v>5530000</v>
      </c>
      <c r="T526" s="48">
        <f t="shared" si="370"/>
        <v>0</v>
      </c>
      <c r="W526" s="28">
        <v>149</v>
      </c>
      <c r="X526" s="105">
        <v>1.5</v>
      </c>
      <c r="Y526" s="105">
        <v>10</v>
      </c>
      <c r="Z526" s="73" t="s">
        <v>955</v>
      </c>
      <c r="AA526" s="28">
        <v>0</v>
      </c>
    </row>
    <row r="527" spans="1:27" x14ac:dyDescent="0.25">
      <c r="A527" s="4"/>
      <c r="B527" s="98" t="s">
        <v>824</v>
      </c>
      <c r="C527" s="75" t="s">
        <v>813</v>
      </c>
      <c r="D527" s="28" t="s">
        <v>814</v>
      </c>
      <c r="E527" s="28">
        <f t="shared" si="365"/>
        <v>92108</v>
      </c>
      <c r="F527" s="143" t="str">
        <f>INDEX(PV_Summary!$B$18:$B$118,MATCH($E527,PV_Summary!$A$18:$A$118,0))</f>
        <v>S</v>
      </c>
      <c r="G527" s="123">
        <v>32.782606000000001</v>
      </c>
      <c r="H527" s="61">
        <v>-117.11573799999999</v>
      </c>
      <c r="I527" s="44" t="s">
        <v>3</v>
      </c>
      <c r="J527" s="46">
        <f t="shared" si="367"/>
        <v>0.75</v>
      </c>
      <c r="K527" s="100"/>
      <c r="L527" s="44" t="str">
        <f t="shared" si="368"/>
        <v/>
      </c>
      <c r="M527" s="46">
        <f t="shared" si="369"/>
        <v>0.75</v>
      </c>
      <c r="N527" s="46"/>
      <c r="O527" s="41">
        <f t="shared" si="366"/>
        <v>0</v>
      </c>
      <c r="P527" s="42">
        <v>793000</v>
      </c>
      <c r="Q527" s="44" t="s">
        <v>3</v>
      </c>
      <c r="R527" s="28" t="s">
        <v>55</v>
      </c>
      <c r="S527" s="48">
        <f t="shared" si="364"/>
        <v>5551000</v>
      </c>
      <c r="T527" s="48">
        <f t="shared" si="370"/>
        <v>0</v>
      </c>
      <c r="W527" s="28">
        <v>704</v>
      </c>
      <c r="X527" s="105">
        <v>1.5</v>
      </c>
      <c r="Y527" s="105">
        <v>10</v>
      </c>
      <c r="Z527" s="73" t="s">
        <v>955</v>
      </c>
      <c r="AA527" s="28">
        <v>0</v>
      </c>
    </row>
    <row r="528" spans="1:27" x14ac:dyDescent="0.25">
      <c r="A528" s="4"/>
      <c r="B528" s="98" t="s">
        <v>825</v>
      </c>
      <c r="C528" s="75" t="s">
        <v>813</v>
      </c>
      <c r="D528" s="28" t="s">
        <v>814</v>
      </c>
      <c r="E528" s="28">
        <f t="shared" si="365"/>
        <v>92108</v>
      </c>
      <c r="F528" s="143" t="str">
        <f>INDEX(PV_Summary!$B$18:$B$118,MATCH($E528,PV_Summary!$A$18:$A$118,0))</f>
        <v>S</v>
      </c>
      <c r="G528" s="123">
        <v>32.781025999999997</v>
      </c>
      <c r="H528" s="61">
        <v>-117.12307699999999</v>
      </c>
      <c r="I528" s="44" t="s">
        <v>3</v>
      </c>
      <c r="J528" s="46">
        <f t="shared" si="367"/>
        <v>0.75</v>
      </c>
      <c r="K528" s="100"/>
      <c r="L528" s="44" t="str">
        <f t="shared" si="368"/>
        <v/>
      </c>
      <c r="M528" s="46">
        <f t="shared" si="369"/>
        <v>0.75</v>
      </c>
      <c r="N528" s="46"/>
      <c r="O528" s="41">
        <f t="shared" si="366"/>
        <v>0</v>
      </c>
      <c r="P528" s="42">
        <v>1050000</v>
      </c>
      <c r="Q528" s="44" t="s">
        <v>3</v>
      </c>
      <c r="R528" s="28" t="s">
        <v>55</v>
      </c>
      <c r="S528" s="48">
        <f t="shared" si="364"/>
        <v>7350000</v>
      </c>
      <c r="T528" s="48">
        <f t="shared" si="370"/>
        <v>0</v>
      </c>
      <c r="W528" s="28">
        <v>362</v>
      </c>
      <c r="X528" s="105">
        <v>1.41</v>
      </c>
      <c r="Y528" s="105">
        <v>9.41</v>
      </c>
      <c r="Z528" s="73" t="s">
        <v>957</v>
      </c>
      <c r="AA528" s="28">
        <v>0</v>
      </c>
    </row>
    <row r="529" spans="1:27" x14ac:dyDescent="0.25">
      <c r="A529" s="4"/>
      <c r="B529" s="98" t="s">
        <v>826</v>
      </c>
      <c r="C529" s="75" t="s">
        <v>813</v>
      </c>
      <c r="D529" s="28" t="s">
        <v>814</v>
      </c>
      <c r="E529" s="28">
        <f t="shared" si="365"/>
        <v>92108</v>
      </c>
      <c r="F529" s="143" t="str">
        <f>INDEX(PV_Summary!$B$18:$B$118,MATCH($E529,PV_Summary!$A$18:$A$118,0))</f>
        <v>S</v>
      </c>
      <c r="G529" s="123">
        <v>32.784801000000002</v>
      </c>
      <c r="H529" s="61">
        <v>-117.123164</v>
      </c>
      <c r="I529" s="44" t="s">
        <v>3</v>
      </c>
      <c r="J529" s="46">
        <f t="shared" si="367"/>
        <v>0.75</v>
      </c>
      <c r="K529" s="100"/>
      <c r="L529" s="44" t="str">
        <f t="shared" si="368"/>
        <v/>
      </c>
      <c r="M529" s="46">
        <f t="shared" si="369"/>
        <v>0.75</v>
      </c>
      <c r="N529" s="46"/>
      <c r="O529" s="41">
        <f t="shared" si="366"/>
        <v>0</v>
      </c>
      <c r="P529" s="42">
        <v>779000</v>
      </c>
      <c r="Q529" s="44" t="s">
        <v>3</v>
      </c>
      <c r="R529" s="28" t="s">
        <v>55</v>
      </c>
      <c r="S529" s="48">
        <f t="shared" si="364"/>
        <v>5453000</v>
      </c>
      <c r="T529" s="48">
        <f t="shared" si="370"/>
        <v>0</v>
      </c>
      <c r="W529" s="28">
        <v>149</v>
      </c>
      <c r="X529" s="105">
        <v>1.5</v>
      </c>
      <c r="Y529" s="105">
        <v>10</v>
      </c>
      <c r="Z529" s="73" t="s">
        <v>955</v>
      </c>
      <c r="AA529" s="28">
        <v>0</v>
      </c>
    </row>
    <row r="530" spans="1:27" x14ac:dyDescent="0.25">
      <c r="A530" s="4"/>
      <c r="B530" s="62" t="s">
        <v>880</v>
      </c>
      <c r="C530" s="75" t="s">
        <v>881</v>
      </c>
      <c r="D530" s="28" t="s">
        <v>882</v>
      </c>
      <c r="E530" s="28">
        <f t="shared" si="365"/>
        <v>92120</v>
      </c>
      <c r="F530" s="143" t="str">
        <f>INDEX(PV_Summary!$B$18:$B$118,MATCH($E530,PV_Summary!$A$18:$A$118,0))</f>
        <v>S</v>
      </c>
      <c r="G530" s="123">
        <v>32.782536</v>
      </c>
      <c r="H530" s="61">
        <v>-117.103013</v>
      </c>
      <c r="I530" s="44" t="s">
        <v>62</v>
      </c>
      <c r="J530" s="46">
        <f ca="1">IF(O530&gt;1,Sym_Scl_Aggr_Parent,IF(O530&lt;1,Sym_Scl_Aggr_Child,Sym_Scl_Normal))</f>
        <v>1.5</v>
      </c>
      <c r="K530" s="100"/>
      <c r="L530" s="44" t="str">
        <f ca="1">IF(O530&gt;1,"Total","")</f>
        <v>Total</v>
      </c>
      <c r="M530" s="46">
        <f ca="1">IF(O530&gt;1,Label_Scl_Aggr_Parent,IF(O530&lt;1,Label_Scl_Aggr_Child,Label_Scl_Normal))</f>
        <v>1.25</v>
      </c>
      <c r="N530" s="46"/>
      <c r="O530" s="41">
        <f t="shared" ca="1" si="366"/>
        <v>4</v>
      </c>
      <c r="Q530" s="44"/>
      <c r="S530" s="48">
        <f t="shared" si="364"/>
        <v>0</v>
      </c>
      <c r="T530" s="48">
        <f t="shared" ca="1" si="370"/>
        <v>1689000</v>
      </c>
      <c r="W530" s="28">
        <v>143</v>
      </c>
      <c r="X530" s="105">
        <v>1.42</v>
      </c>
      <c r="Y530" s="105">
        <v>9.44</v>
      </c>
      <c r="Z530" s="73" t="s">
        <v>955</v>
      </c>
      <c r="AA530" s="28"/>
    </row>
    <row r="531" spans="1:27" x14ac:dyDescent="0.25">
      <c r="A531" s="4"/>
      <c r="B531" s="98" t="s">
        <v>883</v>
      </c>
      <c r="C531" s="75" t="s">
        <v>881</v>
      </c>
      <c r="D531" s="28" t="s">
        <v>882</v>
      </c>
      <c r="E531" s="28">
        <f t="shared" si="365"/>
        <v>92120</v>
      </c>
      <c r="F531" s="143" t="str">
        <f>INDEX(PV_Summary!$B$18:$B$118,MATCH($E531,PV_Summary!$A$18:$A$118,0))</f>
        <v>S</v>
      </c>
      <c r="G531" s="123">
        <v>32.782013999999997</v>
      </c>
      <c r="H531" s="61">
        <v>-117.102397</v>
      </c>
      <c r="I531" s="44" t="s">
        <v>37</v>
      </c>
      <c r="J531" s="46">
        <f t="shared" ref="J531:J533" si="371">IF(O531&gt;1,Sym_Scl_Aggr_Parent,IF(O531&lt;1,Sym_Scl_Aggr_Child,Sym_Scl_Normal))</f>
        <v>0.75</v>
      </c>
      <c r="K531" s="100"/>
      <c r="L531" s="44" t="str">
        <f t="shared" ref="L531:L533" si="372">IF(O531&gt;1,"Total","")</f>
        <v/>
      </c>
      <c r="M531" s="46">
        <f t="shared" ref="M531:M533" si="373">IF(O531&gt;1,Label_Scl_Aggr_Parent,IF(O531&lt;1,Label_Scl_Aggr_Child,Label_Scl_Normal))</f>
        <v>0.75</v>
      </c>
      <c r="N531" s="46"/>
      <c r="O531" s="41">
        <f t="shared" si="366"/>
        <v>0</v>
      </c>
      <c r="P531" s="42">
        <v>104000</v>
      </c>
      <c r="Q531" s="44" t="s">
        <v>37</v>
      </c>
      <c r="R531" s="28" t="s">
        <v>56</v>
      </c>
      <c r="S531" s="48">
        <f t="shared" si="364"/>
        <v>624000</v>
      </c>
      <c r="T531" s="48">
        <f t="shared" si="370"/>
        <v>0</v>
      </c>
      <c r="W531" s="28">
        <v>143</v>
      </c>
      <c r="X531" s="105">
        <v>1.42</v>
      </c>
      <c r="Y531" s="105">
        <v>9.44</v>
      </c>
      <c r="Z531" s="73" t="s">
        <v>955</v>
      </c>
      <c r="AA531" s="28">
        <v>100</v>
      </c>
    </row>
    <row r="532" spans="1:27" x14ac:dyDescent="0.25">
      <c r="A532" s="4"/>
      <c r="B532" s="98" t="s">
        <v>884</v>
      </c>
      <c r="C532" s="75" t="s">
        <v>881</v>
      </c>
      <c r="D532" s="102" t="s">
        <v>882</v>
      </c>
      <c r="E532" s="28">
        <f t="shared" si="365"/>
        <v>92120</v>
      </c>
      <c r="F532" s="143" t="str">
        <f>INDEX(PV_Summary!$B$18:$B$118,MATCH($E532,PV_Summary!$A$18:$A$118,0))</f>
        <v>S</v>
      </c>
      <c r="G532" s="123">
        <v>32.782916</v>
      </c>
      <c r="H532" s="61">
        <v>-117.102422</v>
      </c>
      <c r="I532" s="44" t="s">
        <v>3</v>
      </c>
      <c r="J532" s="46">
        <f t="shared" si="371"/>
        <v>0.75</v>
      </c>
      <c r="K532" s="100"/>
      <c r="L532" s="44" t="str">
        <f t="shared" si="372"/>
        <v/>
      </c>
      <c r="M532" s="46">
        <f t="shared" si="373"/>
        <v>0.75</v>
      </c>
      <c r="N532" s="46"/>
      <c r="O532" s="41">
        <f t="shared" si="366"/>
        <v>0</v>
      </c>
      <c r="P532" s="42">
        <v>135000</v>
      </c>
      <c r="Q532" s="44" t="s">
        <v>3</v>
      </c>
      <c r="R532" s="28" t="s">
        <v>55</v>
      </c>
      <c r="S532" s="48">
        <f t="shared" si="364"/>
        <v>945000</v>
      </c>
      <c r="T532" s="48">
        <f t="shared" si="370"/>
        <v>0</v>
      </c>
      <c r="W532" s="28">
        <v>143</v>
      </c>
      <c r="X532" s="105">
        <v>1.42</v>
      </c>
      <c r="Y532" s="105">
        <v>9.44</v>
      </c>
      <c r="Z532" s="73" t="s">
        <v>955</v>
      </c>
      <c r="AA532" s="28">
        <v>100</v>
      </c>
    </row>
    <row r="533" spans="1:27" x14ac:dyDescent="0.25">
      <c r="A533" s="4"/>
      <c r="B533" s="98" t="s">
        <v>911</v>
      </c>
      <c r="C533" s="75" t="s">
        <v>881</v>
      </c>
      <c r="D533" s="102" t="s">
        <v>882</v>
      </c>
      <c r="E533" s="28">
        <f t="shared" si="365"/>
        <v>92120</v>
      </c>
      <c r="F533" s="143" t="str">
        <f>INDEX(PV_Summary!$B$18:$B$118,MATCH($E533,PV_Summary!$A$18:$A$118,0))</f>
        <v>S</v>
      </c>
      <c r="G533" s="123">
        <v>32.783627000000003</v>
      </c>
      <c r="H533" s="61">
        <v>-117.102321</v>
      </c>
      <c r="I533" s="44" t="s">
        <v>37</v>
      </c>
      <c r="J533" s="46">
        <f t="shared" si="371"/>
        <v>0.75</v>
      </c>
      <c r="K533" s="100"/>
      <c r="L533" s="44" t="str">
        <f t="shared" si="372"/>
        <v/>
      </c>
      <c r="M533" s="46">
        <f t="shared" si="373"/>
        <v>0.75</v>
      </c>
      <c r="N533" s="46"/>
      <c r="O533" s="41">
        <f t="shared" si="366"/>
        <v>0</v>
      </c>
      <c r="P533" s="42">
        <v>20000</v>
      </c>
      <c r="Q533" s="44" t="s">
        <v>37</v>
      </c>
      <c r="R533" s="28" t="s">
        <v>56</v>
      </c>
      <c r="S533" s="48">
        <f t="shared" si="364"/>
        <v>120000</v>
      </c>
      <c r="T533" s="48">
        <f t="shared" si="370"/>
        <v>0</v>
      </c>
      <c r="U533" s="107" t="s">
        <v>885</v>
      </c>
      <c r="V533" s="165"/>
      <c r="W533" s="28">
        <v>143</v>
      </c>
      <c r="X533" s="105">
        <v>1.42</v>
      </c>
      <c r="Y533" s="105">
        <v>9.44</v>
      </c>
      <c r="Z533" s="73" t="s">
        <v>955</v>
      </c>
      <c r="AA533" s="28">
        <v>200</v>
      </c>
    </row>
    <row r="534" spans="1:27" x14ac:dyDescent="0.25">
      <c r="A534" s="4"/>
      <c r="B534" s="62" t="s">
        <v>888</v>
      </c>
      <c r="C534" s="75" t="s">
        <v>886</v>
      </c>
      <c r="D534" s="102" t="s">
        <v>887</v>
      </c>
      <c r="E534" s="28">
        <f t="shared" si="365"/>
        <v>92182</v>
      </c>
      <c r="F534" s="143" t="str">
        <f>INDEX(PV_Summary!$B$18:$B$118,MATCH($E534,PV_Summary!$A$18:$A$118,0))</f>
        <v>S</v>
      </c>
      <c r="G534" s="123">
        <v>32.775188</v>
      </c>
      <c r="H534" s="61">
        <v>-117.07134600000001</v>
      </c>
      <c r="I534" s="44" t="s">
        <v>63</v>
      </c>
      <c r="J534" s="46">
        <f t="shared" ref="J534:J543" ca="1" si="374">IF(O534&gt;1,Sym_Scl_Aggr_Parent,IF(O534&lt;1,Sym_Scl_Aggr_Child,Sym_Scl_Normal))</f>
        <v>1.5</v>
      </c>
      <c r="K534" s="100"/>
      <c r="L534" s="44" t="str">
        <f t="shared" ref="L534:L543" ca="1" si="375">IF(O534&gt;1,"Total","")</f>
        <v>Total</v>
      </c>
      <c r="M534" s="46">
        <f t="shared" ref="M534:M543" ca="1" si="376">IF(O534&gt;1,Label_Scl_Aggr_Parent,IF(O534&lt;1,Label_Scl_Aggr_Child,Label_Scl_Normal))</f>
        <v>1.25</v>
      </c>
      <c r="N534" s="46"/>
      <c r="O534" s="41">
        <f t="shared" ca="1" si="366"/>
        <v>27</v>
      </c>
      <c r="Q534" s="44"/>
      <c r="S534" s="48">
        <f t="shared" si="364"/>
        <v>0</v>
      </c>
      <c r="T534" s="48">
        <f t="shared" ca="1" si="370"/>
        <v>8522500</v>
      </c>
      <c r="U534" s="107"/>
      <c r="V534" s="165"/>
      <c r="W534" s="28" t="s">
        <v>604</v>
      </c>
      <c r="X534" s="105"/>
      <c r="Y534" s="105"/>
      <c r="Z534" s="73" t="s">
        <v>604</v>
      </c>
      <c r="AA534" s="28"/>
    </row>
    <row r="535" spans="1:27" x14ac:dyDescent="0.25">
      <c r="A535" s="4"/>
      <c r="B535" s="98" t="s">
        <v>890</v>
      </c>
      <c r="C535" s="75" t="s">
        <v>886</v>
      </c>
      <c r="D535" s="102" t="s">
        <v>887</v>
      </c>
      <c r="E535" s="28">
        <f t="shared" si="365"/>
        <v>92182</v>
      </c>
      <c r="F535" s="143" t="str">
        <f>INDEX(PV_Summary!$B$18:$B$118,MATCH($E535,PV_Summary!$A$18:$A$118,0))</f>
        <v>S</v>
      </c>
      <c r="G535" s="123">
        <v>32.778647999999997</v>
      </c>
      <c r="H535" s="61">
        <v>-117.07543</v>
      </c>
      <c r="I535" s="44" t="s">
        <v>3</v>
      </c>
      <c r="J535" s="46">
        <f t="shared" si="374"/>
        <v>0.75</v>
      </c>
      <c r="K535" s="100"/>
      <c r="L535" s="44" t="str">
        <f t="shared" si="375"/>
        <v/>
      </c>
      <c r="M535" s="46">
        <f t="shared" si="376"/>
        <v>0.75</v>
      </c>
      <c r="N535" s="46"/>
      <c r="O535" s="41">
        <f t="shared" si="366"/>
        <v>0</v>
      </c>
      <c r="P535" s="42">
        <v>70000</v>
      </c>
      <c r="Q535" s="44" t="s">
        <v>3</v>
      </c>
      <c r="R535" s="28" t="s">
        <v>55</v>
      </c>
      <c r="S535" s="48">
        <f t="shared" si="364"/>
        <v>490000</v>
      </c>
      <c r="T535" s="48">
        <f t="shared" si="370"/>
        <v>0</v>
      </c>
      <c r="U535" s="48" t="s">
        <v>893</v>
      </c>
      <c r="V535" s="167"/>
      <c r="W535" s="28">
        <v>85</v>
      </c>
      <c r="X535" s="105">
        <v>0.57999999999999996</v>
      </c>
      <c r="Y535" s="105">
        <v>3.88</v>
      </c>
      <c r="Z535" s="73" t="s">
        <v>958</v>
      </c>
      <c r="AA535" s="28">
        <v>0</v>
      </c>
    </row>
    <row r="536" spans="1:27" x14ac:dyDescent="0.25">
      <c r="A536" s="4"/>
      <c r="B536" s="98" t="s">
        <v>891</v>
      </c>
      <c r="C536" s="75" t="s">
        <v>886</v>
      </c>
      <c r="D536" s="102" t="s">
        <v>887</v>
      </c>
      <c r="E536" s="28">
        <f t="shared" si="365"/>
        <v>92182</v>
      </c>
      <c r="F536" s="143" t="str">
        <f>INDEX(PV_Summary!$B$18:$B$118,MATCH($E536,PV_Summary!$A$18:$A$118,0))</f>
        <v>S</v>
      </c>
      <c r="G536" s="123">
        <v>32.778044000000001</v>
      </c>
      <c r="H536" s="61">
        <v>-117.07572399999999</v>
      </c>
      <c r="I536" s="44" t="s">
        <v>3</v>
      </c>
      <c r="J536" s="46">
        <f t="shared" si="374"/>
        <v>0.75</v>
      </c>
      <c r="K536" s="100"/>
      <c r="L536" s="44" t="str">
        <f t="shared" si="375"/>
        <v/>
      </c>
      <c r="M536" s="46">
        <f t="shared" si="376"/>
        <v>0.75</v>
      </c>
      <c r="N536" s="46"/>
      <c r="O536" s="41">
        <f t="shared" si="366"/>
        <v>0</v>
      </c>
      <c r="P536" s="42">
        <v>28000</v>
      </c>
      <c r="Q536" s="44" t="s">
        <v>3</v>
      </c>
      <c r="R536" s="28" t="s">
        <v>55</v>
      </c>
      <c r="S536" s="48">
        <f t="shared" ref="S536:S602" si="377">IF(ISNUMBER(FIND("Existing",$Q536)),0,IF($P536=0,0,INDEX(PV_W_Type_Rating_Tbl,MATCH($Q536,PV_Type_List,0),MATCH($R536,Rating_List,0)+4*DC_AC_Num)*$P536))</f>
        <v>196000</v>
      </c>
      <c r="T536" s="48">
        <f t="shared" si="370"/>
        <v>0</v>
      </c>
      <c r="U536" s="48" t="s">
        <v>893</v>
      </c>
      <c r="V536" s="167"/>
      <c r="W536" s="28">
        <v>85</v>
      </c>
      <c r="X536" s="105">
        <v>0.57999999999999996</v>
      </c>
      <c r="Y536" s="105">
        <v>3.88</v>
      </c>
      <c r="Z536" s="73" t="s">
        <v>958</v>
      </c>
      <c r="AA536" s="28">
        <v>200</v>
      </c>
    </row>
    <row r="537" spans="1:27" x14ac:dyDescent="0.25">
      <c r="A537" s="4"/>
      <c r="B537" s="98" t="s">
        <v>894</v>
      </c>
      <c r="C537" s="75" t="s">
        <v>886</v>
      </c>
      <c r="D537" s="102" t="s">
        <v>887</v>
      </c>
      <c r="E537" s="28">
        <f t="shared" si="365"/>
        <v>92182</v>
      </c>
      <c r="F537" s="143" t="str">
        <f>INDEX(PV_Summary!$B$18:$B$118,MATCH($E537,PV_Summary!$A$18:$A$118,0))</f>
        <v>S</v>
      </c>
      <c r="G537" s="123">
        <v>32.777531000000003</v>
      </c>
      <c r="H537" s="61">
        <v>-117.075495</v>
      </c>
      <c r="I537" s="44" t="s">
        <v>37</v>
      </c>
      <c r="J537" s="46">
        <f t="shared" si="374"/>
        <v>0.75</v>
      </c>
      <c r="K537" s="100"/>
      <c r="L537" s="44" t="str">
        <f t="shared" si="375"/>
        <v/>
      </c>
      <c r="M537" s="46">
        <f t="shared" si="376"/>
        <v>0.75</v>
      </c>
      <c r="N537" s="46"/>
      <c r="O537" s="41">
        <f t="shared" si="366"/>
        <v>0</v>
      </c>
      <c r="P537" s="42">
        <v>22000</v>
      </c>
      <c r="Q537" s="44" t="s">
        <v>37</v>
      </c>
      <c r="R537" s="28" t="s">
        <v>57</v>
      </c>
      <c r="S537" s="48">
        <f t="shared" si="377"/>
        <v>110000</v>
      </c>
      <c r="T537" s="48">
        <f t="shared" si="370"/>
        <v>0</v>
      </c>
      <c r="U537" s="48"/>
      <c r="V537" s="167"/>
      <c r="W537" s="28">
        <v>85</v>
      </c>
      <c r="X537" s="105">
        <v>0.57999999999999996</v>
      </c>
      <c r="Y537" s="105">
        <v>3.88</v>
      </c>
      <c r="Z537" s="73" t="s">
        <v>958</v>
      </c>
      <c r="AA537" s="28">
        <v>300</v>
      </c>
    </row>
    <row r="538" spans="1:27" x14ac:dyDescent="0.25">
      <c r="A538" s="4"/>
      <c r="B538" s="98" t="s">
        <v>896</v>
      </c>
      <c r="C538" s="75" t="s">
        <v>886</v>
      </c>
      <c r="D538" s="102" t="s">
        <v>887</v>
      </c>
      <c r="E538" s="28">
        <f t="shared" si="365"/>
        <v>92182</v>
      </c>
      <c r="F538" s="143" t="str">
        <f>INDEX(PV_Summary!$B$18:$B$118,MATCH($E538,PV_Summary!$A$18:$A$118,0))</f>
        <v>S</v>
      </c>
      <c r="G538" s="123">
        <v>32.775530000000003</v>
      </c>
      <c r="H538" s="61">
        <v>-117.077808</v>
      </c>
      <c r="I538" s="44" t="s">
        <v>3</v>
      </c>
      <c r="J538" s="46">
        <f t="shared" si="374"/>
        <v>0.75</v>
      </c>
      <c r="K538" s="100"/>
      <c r="L538" s="44" t="str">
        <f t="shared" si="375"/>
        <v/>
      </c>
      <c r="M538" s="46">
        <f t="shared" si="376"/>
        <v>0.75</v>
      </c>
      <c r="N538" s="46"/>
      <c r="O538" s="41">
        <f t="shared" si="366"/>
        <v>0</v>
      </c>
      <c r="P538" s="42">
        <v>41000</v>
      </c>
      <c r="Q538" s="44" t="s">
        <v>3</v>
      </c>
      <c r="R538" s="28" t="s">
        <v>55</v>
      </c>
      <c r="S538" s="48">
        <f t="shared" si="377"/>
        <v>287000</v>
      </c>
      <c r="T538" s="48">
        <f t="shared" si="370"/>
        <v>0</v>
      </c>
      <c r="U538" s="48"/>
      <c r="V538" s="167"/>
      <c r="W538" s="28">
        <v>168</v>
      </c>
      <c r="X538" s="105">
        <v>1.29</v>
      </c>
      <c r="Y538" s="105">
        <v>8.61</v>
      </c>
      <c r="Z538" s="73" t="s">
        <v>601</v>
      </c>
      <c r="AA538" s="28">
        <v>50</v>
      </c>
    </row>
    <row r="539" spans="1:27" x14ac:dyDescent="0.25">
      <c r="A539" s="4"/>
      <c r="B539" s="98" t="s">
        <v>892</v>
      </c>
      <c r="C539" s="75" t="s">
        <v>886</v>
      </c>
      <c r="D539" s="102" t="s">
        <v>887</v>
      </c>
      <c r="E539" s="28">
        <f t="shared" si="365"/>
        <v>92182</v>
      </c>
      <c r="F539" s="143" t="str">
        <f>INDEX(PV_Summary!$B$18:$B$118,MATCH($E539,PV_Summary!$A$18:$A$118,0))</f>
        <v>S</v>
      </c>
      <c r="G539" s="123">
        <v>32.777951000000002</v>
      </c>
      <c r="H539" s="61">
        <v>-117.074258</v>
      </c>
      <c r="I539" s="44" t="s">
        <v>36</v>
      </c>
      <c r="J539" s="46">
        <f t="shared" si="374"/>
        <v>0.75</v>
      </c>
      <c r="K539" s="100"/>
      <c r="L539" s="44" t="str">
        <f t="shared" si="375"/>
        <v/>
      </c>
      <c r="M539" s="46">
        <f t="shared" si="376"/>
        <v>0.75</v>
      </c>
      <c r="N539" s="46"/>
      <c r="O539" s="41">
        <f t="shared" si="366"/>
        <v>0</v>
      </c>
      <c r="P539" s="42">
        <v>20000</v>
      </c>
      <c r="Q539" s="44" t="s">
        <v>36</v>
      </c>
      <c r="R539" s="28" t="s">
        <v>55</v>
      </c>
      <c r="S539" s="48">
        <f t="shared" si="377"/>
        <v>140000</v>
      </c>
      <c r="T539" s="48">
        <f t="shared" si="370"/>
        <v>0</v>
      </c>
      <c r="U539" s="48" t="s">
        <v>893</v>
      </c>
      <c r="V539" s="167"/>
      <c r="W539" s="28">
        <v>85</v>
      </c>
      <c r="X539" s="105">
        <v>0.57999999999999996</v>
      </c>
      <c r="Y539" s="105">
        <v>3.88</v>
      </c>
      <c r="Z539" s="73" t="s">
        <v>958</v>
      </c>
      <c r="AA539" s="28">
        <v>300</v>
      </c>
    </row>
    <row r="540" spans="1:27" x14ac:dyDescent="0.25">
      <c r="A540" s="4"/>
      <c r="B540" s="98" t="s">
        <v>907</v>
      </c>
      <c r="C540" s="75" t="s">
        <v>886</v>
      </c>
      <c r="D540" s="102" t="s">
        <v>887</v>
      </c>
      <c r="E540" s="28">
        <f t="shared" si="365"/>
        <v>92182</v>
      </c>
      <c r="F540" s="143" t="str">
        <f>INDEX(PV_Summary!$B$18:$B$118,MATCH($E540,PV_Summary!$A$18:$A$118,0))</f>
        <v>S</v>
      </c>
      <c r="G540" s="123">
        <v>32.775615999999999</v>
      </c>
      <c r="H540" s="61">
        <v>-117.074783</v>
      </c>
      <c r="I540" s="44" t="s">
        <v>36</v>
      </c>
      <c r="J540" s="46">
        <f t="shared" si="374"/>
        <v>0.75</v>
      </c>
      <c r="K540" s="100"/>
      <c r="L540" s="44" t="str">
        <f t="shared" si="375"/>
        <v/>
      </c>
      <c r="M540" s="46">
        <f t="shared" si="376"/>
        <v>0.75</v>
      </c>
      <c r="N540" s="46"/>
      <c r="O540" s="41">
        <f t="shared" si="366"/>
        <v>0</v>
      </c>
      <c r="P540" s="42">
        <v>72000</v>
      </c>
      <c r="Q540" s="44" t="s">
        <v>36</v>
      </c>
      <c r="R540" s="28" t="s">
        <v>55</v>
      </c>
      <c r="S540" s="48">
        <f t="shared" si="377"/>
        <v>504000</v>
      </c>
      <c r="T540" s="48">
        <f t="shared" si="370"/>
        <v>0</v>
      </c>
      <c r="U540" s="107"/>
      <c r="V540" s="165"/>
      <c r="W540" s="28">
        <v>168</v>
      </c>
      <c r="X540" s="105">
        <v>1.29</v>
      </c>
      <c r="Y540" s="105">
        <v>8.61</v>
      </c>
      <c r="Z540" s="73" t="s">
        <v>601</v>
      </c>
      <c r="AA540" s="28">
        <v>500</v>
      </c>
    </row>
    <row r="541" spans="1:27" x14ac:dyDescent="0.25">
      <c r="A541" s="4"/>
      <c r="B541" s="98" t="s">
        <v>897</v>
      </c>
      <c r="C541" s="75" t="s">
        <v>886</v>
      </c>
      <c r="D541" s="102" t="s">
        <v>887</v>
      </c>
      <c r="E541" s="28">
        <v>92182</v>
      </c>
      <c r="F541" s="143" t="str">
        <f>INDEX(PV_Summary!$B$18:$B$118,MATCH($E541,PV_Summary!$A$18:$A$118,0))</f>
        <v>S</v>
      </c>
      <c r="G541" s="123">
        <v>32.774510999999997</v>
      </c>
      <c r="H541" s="61">
        <v>-117.07579200000001</v>
      </c>
      <c r="I541" s="44" t="s">
        <v>210</v>
      </c>
      <c r="J541" s="46">
        <v>0.75</v>
      </c>
      <c r="K541" s="100" t="s">
        <v>157</v>
      </c>
      <c r="L541" s="44" t="s">
        <v>898</v>
      </c>
      <c r="M541" s="46">
        <v>0.75</v>
      </c>
      <c r="N541" s="46"/>
      <c r="O541" s="41">
        <f t="shared" si="366"/>
        <v>0</v>
      </c>
      <c r="Q541" s="44" t="s">
        <v>172</v>
      </c>
      <c r="S541" s="48">
        <f t="shared" si="377"/>
        <v>0</v>
      </c>
      <c r="T541" s="48">
        <f t="shared" si="370"/>
        <v>0</v>
      </c>
      <c r="U541" s="107" t="s">
        <v>1373</v>
      </c>
      <c r="V541" s="165"/>
      <c r="W541" s="28"/>
      <c r="X541" s="105"/>
      <c r="Y541" s="105"/>
      <c r="Z541" s="73"/>
      <c r="AA541" s="28"/>
    </row>
    <row r="542" spans="1:27" x14ac:dyDescent="0.25">
      <c r="A542" s="4"/>
      <c r="B542" s="98" t="s">
        <v>895</v>
      </c>
      <c r="C542" s="75" t="s">
        <v>886</v>
      </c>
      <c r="D542" s="102" t="s">
        <v>887</v>
      </c>
      <c r="E542" s="28">
        <f t="shared" si="365"/>
        <v>92182</v>
      </c>
      <c r="F542" s="143" t="str">
        <f>INDEX(PV_Summary!$B$18:$B$118,MATCH($E542,PV_Summary!$A$18:$A$118,0))</f>
        <v>S</v>
      </c>
      <c r="G542" s="123">
        <v>32.774647999999999</v>
      </c>
      <c r="H542" s="61">
        <v>-117.07473400000001</v>
      </c>
      <c r="I542" s="44" t="s">
        <v>3</v>
      </c>
      <c r="J542" s="46">
        <f t="shared" si="374"/>
        <v>0.75</v>
      </c>
      <c r="K542" s="100"/>
      <c r="L542" s="44" t="str">
        <f t="shared" si="375"/>
        <v/>
      </c>
      <c r="M542" s="46">
        <f t="shared" si="376"/>
        <v>0.75</v>
      </c>
      <c r="N542" s="46"/>
      <c r="O542" s="41">
        <f t="shared" si="366"/>
        <v>0</v>
      </c>
      <c r="P542" s="42">
        <v>38000</v>
      </c>
      <c r="Q542" s="44" t="s">
        <v>3</v>
      </c>
      <c r="R542" s="28" t="s">
        <v>55</v>
      </c>
      <c r="S542" s="48">
        <f t="shared" si="377"/>
        <v>266000</v>
      </c>
      <c r="T542" s="48">
        <f t="shared" si="370"/>
        <v>0</v>
      </c>
      <c r="U542" s="107"/>
      <c r="V542" s="165"/>
      <c r="W542" s="28">
        <v>168</v>
      </c>
      <c r="X542" s="105">
        <v>1.29</v>
      </c>
      <c r="Y542" s="105">
        <v>8.61</v>
      </c>
      <c r="Z542" s="73" t="s">
        <v>601</v>
      </c>
      <c r="AA542" s="28">
        <v>500</v>
      </c>
    </row>
    <row r="543" spans="1:27" x14ac:dyDescent="0.25">
      <c r="A543" s="4"/>
      <c r="B543" s="98" t="s">
        <v>889</v>
      </c>
      <c r="C543" s="75" t="s">
        <v>886</v>
      </c>
      <c r="D543" s="102" t="s">
        <v>887</v>
      </c>
      <c r="E543" s="28">
        <f t="shared" ref="E543:E548" si="378">RIGHT(TRIM(D543),5)*1</f>
        <v>92182</v>
      </c>
      <c r="F543" s="143" t="str">
        <f>INDEX(PV_Summary!$B$18:$B$118,MATCH($E543,PV_Summary!$A$18:$A$118,0))</f>
        <v>S</v>
      </c>
      <c r="G543" s="123">
        <v>32.773722999999997</v>
      </c>
      <c r="H543" s="61">
        <v>-117.074625</v>
      </c>
      <c r="I543" s="44" t="s">
        <v>37</v>
      </c>
      <c r="J543" s="46">
        <f t="shared" si="374"/>
        <v>0.75</v>
      </c>
      <c r="K543" s="100"/>
      <c r="L543" s="44" t="str">
        <f t="shared" si="375"/>
        <v/>
      </c>
      <c r="M543" s="46">
        <f t="shared" si="376"/>
        <v>0.75</v>
      </c>
      <c r="N543" s="46"/>
      <c r="O543" s="41">
        <f t="shared" si="366"/>
        <v>0</v>
      </c>
      <c r="P543" s="42">
        <v>86000</v>
      </c>
      <c r="Q543" s="44" t="s">
        <v>37</v>
      </c>
      <c r="R543" s="28" t="s">
        <v>55</v>
      </c>
      <c r="S543" s="48">
        <f t="shared" si="377"/>
        <v>602000</v>
      </c>
      <c r="T543" s="48">
        <f t="shared" si="370"/>
        <v>0</v>
      </c>
      <c r="U543" s="107"/>
      <c r="V543" s="165"/>
      <c r="W543" s="28">
        <v>168</v>
      </c>
      <c r="X543" s="105">
        <v>1.29</v>
      </c>
      <c r="Y543" s="105">
        <v>8.61</v>
      </c>
      <c r="Z543" s="73" t="s">
        <v>601</v>
      </c>
      <c r="AA543" s="28">
        <v>100</v>
      </c>
    </row>
    <row r="544" spans="1:27" x14ac:dyDescent="0.25">
      <c r="A544" s="4"/>
      <c r="B544" s="98" t="s">
        <v>899</v>
      </c>
      <c r="C544" s="75" t="s">
        <v>886</v>
      </c>
      <c r="D544" s="102" t="s">
        <v>887</v>
      </c>
      <c r="E544" s="28">
        <f t="shared" si="378"/>
        <v>92182</v>
      </c>
      <c r="F544" s="143" t="str">
        <f>INDEX(PV_Summary!$B$18:$B$118,MATCH($E544,PV_Summary!$A$18:$A$118,0))</f>
        <v>S</v>
      </c>
      <c r="G544" s="123">
        <v>32.774003</v>
      </c>
      <c r="H544" s="61">
        <v>-117.076831</v>
      </c>
      <c r="I544" s="44" t="s">
        <v>37</v>
      </c>
      <c r="J544" s="46">
        <f t="shared" ref="J544:J548" si="379">IF(O544&gt;1,Sym_Scl_Aggr_Parent,IF(O544&lt;1,Sym_Scl_Aggr_Child,Sym_Scl_Normal))</f>
        <v>0.75</v>
      </c>
      <c r="K544" s="100"/>
      <c r="L544" s="44" t="str">
        <f t="shared" ref="L544:L548" si="380">IF(O544&gt;1,"Total","")</f>
        <v/>
      </c>
      <c r="M544" s="46">
        <f t="shared" ref="M544:M548" si="381">IF(O544&gt;1,Label_Scl_Aggr_Parent,IF(O544&lt;1,Label_Scl_Aggr_Child,Label_Scl_Normal))</f>
        <v>0.75</v>
      </c>
      <c r="N544" s="46"/>
      <c r="O544" s="41">
        <f t="shared" si="366"/>
        <v>0</v>
      </c>
      <c r="P544" s="42">
        <v>68000</v>
      </c>
      <c r="Q544" s="44" t="s">
        <v>37</v>
      </c>
      <c r="R544" s="28" t="s">
        <v>56</v>
      </c>
      <c r="S544" s="48">
        <f t="shared" si="377"/>
        <v>408000</v>
      </c>
      <c r="T544" s="48">
        <f t="shared" si="370"/>
        <v>0</v>
      </c>
      <c r="U544" s="107"/>
      <c r="V544" s="165"/>
      <c r="W544" s="28">
        <v>168</v>
      </c>
      <c r="X544" s="105">
        <v>1.29</v>
      </c>
      <c r="Y544" s="105">
        <v>8.61</v>
      </c>
      <c r="Z544" s="73" t="s">
        <v>601</v>
      </c>
      <c r="AA544" s="28">
        <v>100</v>
      </c>
    </row>
    <row r="545" spans="1:27" x14ac:dyDescent="0.25">
      <c r="A545" s="4"/>
      <c r="B545" s="98" t="s">
        <v>914</v>
      </c>
      <c r="C545" s="75" t="s">
        <v>886</v>
      </c>
      <c r="D545" s="102" t="s">
        <v>887</v>
      </c>
      <c r="E545" s="28">
        <f t="shared" ref="E545:E546" si="382">RIGHT(TRIM(D545),5)*1</f>
        <v>92182</v>
      </c>
      <c r="F545" s="143" t="str">
        <f>INDEX(PV_Summary!$B$18:$B$118,MATCH($E545,PV_Summary!$A$18:$A$118,0))</f>
        <v>S</v>
      </c>
      <c r="G545" s="123">
        <v>32.772922999999999</v>
      </c>
      <c r="H545" s="61">
        <v>-117.077366</v>
      </c>
      <c r="I545" s="44" t="s">
        <v>37</v>
      </c>
      <c r="J545" s="46">
        <f t="shared" si="379"/>
        <v>0.75</v>
      </c>
      <c r="K545" s="100"/>
      <c r="L545" s="44" t="str">
        <f t="shared" si="380"/>
        <v/>
      </c>
      <c r="M545" s="46">
        <f t="shared" si="381"/>
        <v>0.75</v>
      </c>
      <c r="N545" s="46"/>
      <c r="O545" s="41">
        <f t="shared" si="366"/>
        <v>0</v>
      </c>
      <c r="P545" s="42">
        <v>15000</v>
      </c>
      <c r="Q545" s="44" t="s">
        <v>37</v>
      </c>
      <c r="R545" s="28" t="s">
        <v>55</v>
      </c>
      <c r="S545" s="48">
        <f t="shared" si="377"/>
        <v>105000</v>
      </c>
      <c r="T545" s="48">
        <f t="shared" si="370"/>
        <v>0</v>
      </c>
      <c r="U545" s="107"/>
      <c r="V545" s="165"/>
      <c r="W545" s="28">
        <v>168</v>
      </c>
      <c r="X545" s="105">
        <v>1.29</v>
      </c>
      <c r="Y545" s="105">
        <v>8.61</v>
      </c>
      <c r="Z545" s="73" t="s">
        <v>601</v>
      </c>
      <c r="AA545" s="28">
        <v>50</v>
      </c>
    </row>
    <row r="546" spans="1:27" x14ac:dyDescent="0.25">
      <c r="A546" s="4"/>
      <c r="B546" s="98" t="s">
        <v>915</v>
      </c>
      <c r="C546" s="75" t="s">
        <v>886</v>
      </c>
      <c r="D546" s="102" t="s">
        <v>887</v>
      </c>
      <c r="E546" s="28">
        <f t="shared" si="382"/>
        <v>92182</v>
      </c>
      <c r="F546" s="143" t="str">
        <f>INDEX(PV_Summary!$B$18:$B$118,MATCH($E546,PV_Summary!$A$18:$A$118,0))</f>
        <v>S</v>
      </c>
      <c r="G546" s="123">
        <v>32.772986000000003</v>
      </c>
      <c r="H546" s="61">
        <v>-117.076932</v>
      </c>
      <c r="I546" s="44" t="s">
        <v>37</v>
      </c>
      <c r="J546" s="46">
        <f t="shared" si="379"/>
        <v>0.75</v>
      </c>
      <c r="K546" s="100"/>
      <c r="L546" s="44" t="str">
        <f t="shared" si="380"/>
        <v/>
      </c>
      <c r="M546" s="46">
        <f t="shared" si="381"/>
        <v>0.75</v>
      </c>
      <c r="N546" s="46"/>
      <c r="O546" s="41">
        <f t="shared" si="366"/>
        <v>0</v>
      </c>
      <c r="P546" s="42">
        <v>3200</v>
      </c>
      <c r="Q546" s="44" t="s">
        <v>37</v>
      </c>
      <c r="R546" s="28" t="s">
        <v>55</v>
      </c>
      <c r="S546" s="48">
        <f t="shared" si="377"/>
        <v>22400</v>
      </c>
      <c r="T546" s="48">
        <f t="shared" si="370"/>
        <v>0</v>
      </c>
      <c r="U546" s="107"/>
      <c r="V546" s="165"/>
      <c r="W546" s="28">
        <v>168</v>
      </c>
      <c r="X546" s="105">
        <v>1.29</v>
      </c>
      <c r="Y546" s="105">
        <v>8.61</v>
      </c>
      <c r="Z546" s="73" t="s">
        <v>601</v>
      </c>
      <c r="AA546" s="28">
        <v>100</v>
      </c>
    </row>
    <row r="547" spans="1:27" x14ac:dyDescent="0.25">
      <c r="A547" s="4"/>
      <c r="B547" s="98" t="s">
        <v>902</v>
      </c>
      <c r="C547" s="75" t="s">
        <v>886</v>
      </c>
      <c r="D547" s="102" t="s">
        <v>887</v>
      </c>
      <c r="E547" s="28">
        <f t="shared" si="378"/>
        <v>92182</v>
      </c>
      <c r="F547" s="143" t="str">
        <f>INDEX(PV_Summary!$B$18:$B$118,MATCH($E547,PV_Summary!$A$18:$A$118,0))</f>
        <v>S</v>
      </c>
      <c r="G547" s="123">
        <v>32.774963999999997</v>
      </c>
      <c r="H547" s="61">
        <v>-117.072597</v>
      </c>
      <c r="I547" s="99" t="s">
        <v>37</v>
      </c>
      <c r="J547" s="46">
        <f t="shared" si="379"/>
        <v>0.75</v>
      </c>
      <c r="K547" s="100"/>
      <c r="L547" s="44" t="str">
        <f t="shared" si="380"/>
        <v/>
      </c>
      <c r="M547" s="46">
        <f t="shared" si="381"/>
        <v>0.75</v>
      </c>
      <c r="N547" s="46"/>
      <c r="O547" s="41">
        <f t="shared" si="366"/>
        <v>0</v>
      </c>
      <c r="P547" s="42">
        <f>8500 + N("NW")+10800+N("SE")</f>
        <v>19300</v>
      </c>
      <c r="Q547" s="44" t="s">
        <v>37</v>
      </c>
      <c r="R547" s="28" t="s">
        <v>55</v>
      </c>
      <c r="S547" s="48">
        <f t="shared" si="377"/>
        <v>135100</v>
      </c>
      <c r="T547" s="48">
        <f t="shared" si="370"/>
        <v>0</v>
      </c>
      <c r="U547" s="107"/>
      <c r="V547" s="165"/>
      <c r="W547" s="28">
        <v>168</v>
      </c>
      <c r="X547" s="105">
        <v>1.29</v>
      </c>
      <c r="Y547" s="105">
        <v>8.61</v>
      </c>
      <c r="Z547" s="73" t="s">
        <v>601</v>
      </c>
      <c r="AA547" s="28">
        <v>500</v>
      </c>
    </row>
    <row r="548" spans="1:27" x14ac:dyDescent="0.25">
      <c r="A548" s="4"/>
      <c r="B548" s="98" t="s">
        <v>900</v>
      </c>
      <c r="C548" s="75" t="s">
        <v>886</v>
      </c>
      <c r="D548" s="102" t="s">
        <v>887</v>
      </c>
      <c r="E548" s="28">
        <f t="shared" si="378"/>
        <v>92182</v>
      </c>
      <c r="F548" s="143" t="str">
        <f>INDEX(PV_Summary!$B$18:$B$118,MATCH($E548,PV_Summary!$A$18:$A$118,0))</f>
        <v>S</v>
      </c>
      <c r="G548" s="123">
        <v>32.774509000000002</v>
      </c>
      <c r="H548" s="61">
        <v>-117.071257</v>
      </c>
      <c r="I548" s="44" t="s">
        <v>37</v>
      </c>
      <c r="J548" s="46">
        <f t="shared" si="379"/>
        <v>0.75</v>
      </c>
      <c r="K548" s="100"/>
      <c r="L548" s="44" t="str">
        <f t="shared" si="380"/>
        <v/>
      </c>
      <c r="M548" s="46">
        <f t="shared" si="381"/>
        <v>0.75</v>
      </c>
      <c r="N548" s="46"/>
      <c r="O548" s="41">
        <f t="shared" si="366"/>
        <v>0</v>
      </c>
      <c r="P548" s="42">
        <v>36000</v>
      </c>
      <c r="Q548" s="44" t="s">
        <v>3</v>
      </c>
      <c r="R548" s="28" t="s">
        <v>55</v>
      </c>
      <c r="S548" s="48">
        <f t="shared" si="377"/>
        <v>252000</v>
      </c>
      <c r="T548" s="48">
        <f t="shared" si="370"/>
        <v>0</v>
      </c>
      <c r="U548" s="107" t="s">
        <v>901</v>
      </c>
      <c r="V548" s="165"/>
      <c r="W548" s="28">
        <v>168</v>
      </c>
      <c r="X548" s="105">
        <v>1.29</v>
      </c>
      <c r="Y548" s="105">
        <v>8.61</v>
      </c>
      <c r="Z548" s="73" t="s">
        <v>601</v>
      </c>
      <c r="AA548" s="28">
        <v>500</v>
      </c>
    </row>
    <row r="549" spans="1:27" x14ac:dyDescent="0.25">
      <c r="A549" s="4"/>
      <c r="B549" s="98" t="s">
        <v>912</v>
      </c>
      <c r="C549" s="75" t="s">
        <v>886</v>
      </c>
      <c r="D549" s="102" t="s">
        <v>887</v>
      </c>
      <c r="E549" s="28">
        <f t="shared" ref="E549:E550" si="383">RIGHT(TRIM(D549),5)*1</f>
        <v>92182</v>
      </c>
      <c r="F549" s="143" t="str">
        <f>INDEX(PV_Summary!$B$18:$B$118,MATCH($E549,PV_Summary!$A$18:$A$118,0))</f>
        <v>S</v>
      </c>
      <c r="G549" s="123">
        <v>32.778767000000002</v>
      </c>
      <c r="H549" s="61">
        <v>-117.069209</v>
      </c>
      <c r="I549" s="44" t="s">
        <v>3</v>
      </c>
      <c r="J549" s="46">
        <f t="shared" ref="J549:J554" si="384">IF(O549&gt;1,Sym_Scl_Aggr_Parent,IF(O549&lt;1,Sym_Scl_Aggr_Child,Sym_Scl_Normal))</f>
        <v>0.75</v>
      </c>
      <c r="K549" s="100"/>
      <c r="L549" s="44" t="str">
        <f t="shared" ref="L549:L554" si="385">IF(O549&gt;1,"Total","")</f>
        <v/>
      </c>
      <c r="M549" s="46">
        <f t="shared" ref="M549:M554" si="386">IF(O549&gt;1,Label_Scl_Aggr_Parent,IF(O549&lt;1,Label_Scl_Aggr_Child,Label_Scl_Normal))</f>
        <v>0.75</v>
      </c>
      <c r="N549" s="46"/>
      <c r="O549" s="41">
        <f t="shared" si="366"/>
        <v>0</v>
      </c>
      <c r="P549" s="42">
        <v>24000</v>
      </c>
      <c r="Q549" s="44" t="s">
        <v>3</v>
      </c>
      <c r="R549" s="28" t="s">
        <v>55</v>
      </c>
      <c r="S549" s="48">
        <f t="shared" si="377"/>
        <v>168000</v>
      </c>
      <c r="T549" s="48">
        <f t="shared" si="370"/>
        <v>0</v>
      </c>
      <c r="U549" s="107"/>
      <c r="V549" s="165"/>
      <c r="W549" s="28">
        <v>85</v>
      </c>
      <c r="X549" s="105">
        <v>0.57999999999999996</v>
      </c>
      <c r="Y549" s="105">
        <v>3.88</v>
      </c>
      <c r="Z549" s="73" t="s">
        <v>958</v>
      </c>
      <c r="AA549" s="28">
        <v>0</v>
      </c>
    </row>
    <row r="550" spans="1:27" x14ac:dyDescent="0.25">
      <c r="A550" s="4"/>
      <c r="B550" s="98" t="s">
        <v>913</v>
      </c>
      <c r="C550" s="75" t="s">
        <v>886</v>
      </c>
      <c r="D550" s="102" t="s">
        <v>887</v>
      </c>
      <c r="E550" s="28">
        <f t="shared" si="383"/>
        <v>92182</v>
      </c>
      <c r="F550" s="143" t="str">
        <f>INDEX(PV_Summary!$B$18:$B$118,MATCH($E550,PV_Summary!$A$18:$A$118,0))</f>
        <v>S</v>
      </c>
      <c r="G550" s="123">
        <v>32.777721</v>
      </c>
      <c r="H550" s="61">
        <v>-117.06853700000001</v>
      </c>
      <c r="I550" s="44" t="s">
        <v>3</v>
      </c>
      <c r="J550" s="46">
        <f t="shared" si="384"/>
        <v>0.75</v>
      </c>
      <c r="K550" s="100"/>
      <c r="L550" s="44" t="str">
        <f t="shared" si="385"/>
        <v/>
      </c>
      <c r="M550" s="46">
        <f t="shared" si="386"/>
        <v>0.75</v>
      </c>
      <c r="N550" s="46"/>
      <c r="O550" s="41">
        <f t="shared" si="366"/>
        <v>0</v>
      </c>
      <c r="P550" s="42">
        <v>79000</v>
      </c>
      <c r="Q550" s="44" t="s">
        <v>3</v>
      </c>
      <c r="R550" s="28" t="s">
        <v>55</v>
      </c>
      <c r="S550" s="48">
        <f t="shared" si="377"/>
        <v>553000</v>
      </c>
      <c r="T550" s="48">
        <f t="shared" si="370"/>
        <v>0</v>
      </c>
      <c r="U550" s="107"/>
      <c r="V550" s="165"/>
      <c r="W550" s="28">
        <v>85</v>
      </c>
      <c r="X550" s="105">
        <v>0.57999999999999996</v>
      </c>
      <c r="Y550" s="105">
        <v>3.88</v>
      </c>
      <c r="Z550" s="73" t="s">
        <v>958</v>
      </c>
      <c r="AA550" s="28">
        <v>0</v>
      </c>
    </row>
    <row r="551" spans="1:27" x14ac:dyDescent="0.25">
      <c r="A551" s="4"/>
      <c r="B551" s="98" t="s">
        <v>925</v>
      </c>
      <c r="C551" s="75" t="s">
        <v>886</v>
      </c>
      <c r="D551" s="102" t="s">
        <v>887</v>
      </c>
      <c r="E551" s="28">
        <f t="shared" ref="E551:E552" si="387">RIGHT(TRIM(D551),5)*1</f>
        <v>92182</v>
      </c>
      <c r="F551" s="143" t="str">
        <f>INDEX(PV_Summary!$B$18:$B$118,MATCH($E551,PV_Summary!$A$18:$A$118,0))</f>
        <v>S</v>
      </c>
      <c r="G551" s="123">
        <v>32.777374999999999</v>
      </c>
      <c r="H551" s="61">
        <v>-117.065952</v>
      </c>
      <c r="I551" s="44" t="s">
        <v>3</v>
      </c>
      <c r="J551" s="46">
        <f t="shared" ref="J551:J553" si="388">IF(O551&gt;1,Sym_Scl_Aggr_Parent,IF(O551&lt;1,Sym_Scl_Aggr_Child,Sym_Scl_Normal))</f>
        <v>0.75</v>
      </c>
      <c r="K551" s="100"/>
      <c r="L551" s="44" t="str">
        <f t="shared" ref="L551:L553" si="389">IF(O551&gt;1,"Total","")</f>
        <v/>
      </c>
      <c r="M551" s="46">
        <f t="shared" ref="M551:M553" si="390">IF(O551&gt;1,Label_Scl_Aggr_Parent,IF(O551&lt;1,Label_Scl_Aggr_Child,Label_Scl_Normal))</f>
        <v>0.75</v>
      </c>
      <c r="N551" s="46"/>
      <c r="O551" s="41">
        <f t="shared" si="366"/>
        <v>0</v>
      </c>
      <c r="P551" s="42">
        <v>39000</v>
      </c>
      <c r="Q551" s="44" t="s">
        <v>3</v>
      </c>
      <c r="R551" s="28" t="s">
        <v>55</v>
      </c>
      <c r="S551" s="48">
        <f t="shared" si="377"/>
        <v>273000</v>
      </c>
      <c r="T551" s="48">
        <f t="shared" si="370"/>
        <v>0</v>
      </c>
      <c r="U551" s="107"/>
      <c r="V551" s="165"/>
      <c r="W551" s="28">
        <v>85</v>
      </c>
      <c r="X551" s="105">
        <v>0.57999999999999996</v>
      </c>
      <c r="Y551" s="105">
        <v>3.88</v>
      </c>
      <c r="Z551" s="73" t="s">
        <v>958</v>
      </c>
      <c r="AA551" s="28">
        <v>50</v>
      </c>
    </row>
    <row r="552" spans="1:27" x14ac:dyDescent="0.25">
      <c r="A552" s="4"/>
      <c r="B552" s="98" t="s">
        <v>926</v>
      </c>
      <c r="C552" s="75" t="s">
        <v>886</v>
      </c>
      <c r="D552" s="102" t="s">
        <v>887</v>
      </c>
      <c r="E552" s="28">
        <f t="shared" si="387"/>
        <v>92182</v>
      </c>
      <c r="F552" s="143" t="str">
        <f>INDEX(PV_Summary!$B$18:$B$118,MATCH($E552,PV_Summary!$A$18:$A$118,0))</f>
        <v>S</v>
      </c>
      <c r="G552" s="123">
        <v>32.778343999999997</v>
      </c>
      <c r="H552" s="61">
        <v>-117.06428200000001</v>
      </c>
      <c r="I552" s="44" t="s">
        <v>3</v>
      </c>
      <c r="J552" s="46">
        <f t="shared" si="388"/>
        <v>0.75</v>
      </c>
      <c r="K552" s="100"/>
      <c r="L552" s="44" t="str">
        <f t="shared" si="389"/>
        <v/>
      </c>
      <c r="M552" s="46">
        <f t="shared" si="390"/>
        <v>0.75</v>
      </c>
      <c r="N552" s="46"/>
      <c r="O552" s="41">
        <f t="shared" si="366"/>
        <v>0</v>
      </c>
      <c r="P552" s="42">
        <v>52000</v>
      </c>
      <c r="Q552" s="44" t="s">
        <v>3</v>
      </c>
      <c r="R552" s="28" t="s">
        <v>55</v>
      </c>
      <c r="S552" s="48">
        <f t="shared" si="377"/>
        <v>364000</v>
      </c>
      <c r="T552" s="48">
        <f t="shared" si="370"/>
        <v>0</v>
      </c>
      <c r="U552" s="107"/>
      <c r="V552" s="165"/>
      <c r="W552" s="28">
        <v>85</v>
      </c>
      <c r="X552" s="105">
        <v>0.57999999999999996</v>
      </c>
      <c r="Y552" s="105">
        <v>3.88</v>
      </c>
      <c r="Z552" s="73" t="s">
        <v>958</v>
      </c>
      <c r="AA552" s="28">
        <v>50</v>
      </c>
    </row>
    <row r="553" spans="1:27" x14ac:dyDescent="0.25">
      <c r="A553" s="4"/>
      <c r="B553" s="98" t="s">
        <v>903</v>
      </c>
      <c r="C553" s="75" t="s">
        <v>886</v>
      </c>
      <c r="D553" s="102" t="s">
        <v>887</v>
      </c>
      <c r="E553" s="28">
        <f t="shared" ref="E553:E556" si="391">RIGHT(TRIM(D553),5)*1</f>
        <v>92182</v>
      </c>
      <c r="F553" s="143" t="str">
        <f>INDEX(PV_Summary!$B$18:$B$118,MATCH($E553,PV_Summary!$A$18:$A$118,0))</f>
        <v>S</v>
      </c>
      <c r="G553" s="123">
        <v>32.773910000000001</v>
      </c>
      <c r="H553" s="61">
        <v>-117.067485</v>
      </c>
      <c r="I553" s="44" t="s">
        <v>3</v>
      </c>
      <c r="J553" s="46">
        <f t="shared" si="388"/>
        <v>0.75</v>
      </c>
      <c r="K553" s="100"/>
      <c r="L553" s="44" t="str">
        <f t="shared" si="389"/>
        <v/>
      </c>
      <c r="M553" s="46">
        <f t="shared" si="390"/>
        <v>0.75</v>
      </c>
      <c r="N553" s="46"/>
      <c r="O553" s="41">
        <f t="shared" si="366"/>
        <v>0</v>
      </c>
      <c r="P553" s="42">
        <v>83000</v>
      </c>
      <c r="Q553" s="44" t="s">
        <v>3</v>
      </c>
      <c r="R553" s="28" t="s">
        <v>55</v>
      </c>
      <c r="S553" s="48">
        <f t="shared" si="377"/>
        <v>581000</v>
      </c>
      <c r="T553" s="48">
        <f t="shared" ref="T553:T584" si="392">SUMIF($C:$C,$C553,$S:$S)*IF($O553&gt;=1,1,0)</f>
        <v>0</v>
      </c>
      <c r="U553" s="107"/>
      <c r="V553" s="165"/>
      <c r="W553" s="28">
        <v>430</v>
      </c>
      <c r="X553" s="105">
        <v>1.59</v>
      </c>
      <c r="Y553" s="105">
        <v>10.6</v>
      </c>
      <c r="Z553" s="73" t="s">
        <v>601</v>
      </c>
      <c r="AA553" s="28">
        <v>300</v>
      </c>
    </row>
    <row r="554" spans="1:27" x14ac:dyDescent="0.25">
      <c r="A554" s="4"/>
      <c r="B554" s="98" t="s">
        <v>904</v>
      </c>
      <c r="C554" s="75" t="s">
        <v>886</v>
      </c>
      <c r="D554" s="102" t="s">
        <v>887</v>
      </c>
      <c r="E554" s="28">
        <f t="shared" si="391"/>
        <v>92182</v>
      </c>
      <c r="F554" s="143" t="str">
        <f>INDEX(PV_Summary!$B$18:$B$118,MATCH($E554,PV_Summary!$A$18:$A$118,0))</f>
        <v>S</v>
      </c>
      <c r="G554" s="123">
        <v>32.773256000000003</v>
      </c>
      <c r="H554" s="61">
        <v>-117.06838999999999</v>
      </c>
      <c r="I554" s="44" t="s">
        <v>3</v>
      </c>
      <c r="J554" s="46">
        <f t="shared" si="384"/>
        <v>0.75</v>
      </c>
      <c r="K554" s="100"/>
      <c r="L554" s="44" t="str">
        <f t="shared" si="385"/>
        <v/>
      </c>
      <c r="M554" s="46">
        <f t="shared" si="386"/>
        <v>0.75</v>
      </c>
      <c r="N554" s="46"/>
      <c r="O554" s="41">
        <f t="shared" si="366"/>
        <v>0</v>
      </c>
      <c r="P554" s="42">
        <v>68000</v>
      </c>
      <c r="Q554" s="44" t="s">
        <v>3</v>
      </c>
      <c r="R554" s="28" t="s">
        <v>55</v>
      </c>
      <c r="S554" s="48">
        <f t="shared" si="377"/>
        <v>476000</v>
      </c>
      <c r="T554" s="48">
        <f t="shared" si="392"/>
        <v>0</v>
      </c>
      <c r="U554" s="107"/>
      <c r="V554" s="165"/>
      <c r="W554" s="28">
        <v>430</v>
      </c>
      <c r="X554" s="105">
        <v>1.59</v>
      </c>
      <c r="Y554" s="105">
        <v>10.6</v>
      </c>
      <c r="Z554" s="73" t="s">
        <v>601</v>
      </c>
      <c r="AA554" s="28">
        <v>0</v>
      </c>
    </row>
    <row r="555" spans="1:27" x14ac:dyDescent="0.25">
      <c r="A555" s="4"/>
      <c r="B555" s="98" t="s">
        <v>905</v>
      </c>
      <c r="C555" s="75" t="s">
        <v>886</v>
      </c>
      <c r="D555" s="102" t="s">
        <v>887</v>
      </c>
      <c r="E555" s="28">
        <f t="shared" si="391"/>
        <v>92182</v>
      </c>
      <c r="F555" s="143" t="str">
        <f>INDEX(PV_Summary!$B$18:$B$118,MATCH($E555,PV_Summary!$A$18:$A$118,0))</f>
        <v>S</v>
      </c>
      <c r="G555" s="123">
        <v>32.773283999999997</v>
      </c>
      <c r="H555" s="61">
        <v>-117.066581</v>
      </c>
      <c r="I555" s="44" t="s">
        <v>3</v>
      </c>
      <c r="J555" s="46">
        <f t="shared" ref="J555:J559" si="393">IF(O555&gt;1,Sym_Scl_Aggr_Parent,IF(O555&lt;1,Sym_Scl_Aggr_Child,Sym_Scl_Normal))</f>
        <v>0.75</v>
      </c>
      <c r="K555" s="100"/>
      <c r="L555" s="44" t="str">
        <f t="shared" ref="L555:L559" si="394">IF(O555&gt;1,"Total","")</f>
        <v/>
      </c>
      <c r="M555" s="46">
        <f t="shared" ref="M555:M559" si="395">IF(O555&gt;1,Label_Scl_Aggr_Parent,IF(O555&lt;1,Label_Scl_Aggr_Child,Label_Scl_Normal))</f>
        <v>0.75</v>
      </c>
      <c r="N555" s="46"/>
      <c r="O555" s="41">
        <f t="shared" si="366"/>
        <v>0</v>
      </c>
      <c r="P555" s="42">
        <v>55000</v>
      </c>
      <c r="Q555" s="44" t="s">
        <v>3</v>
      </c>
      <c r="R555" s="28" t="s">
        <v>55</v>
      </c>
      <c r="S555" s="48">
        <f t="shared" si="377"/>
        <v>385000</v>
      </c>
      <c r="T555" s="48">
        <f t="shared" si="392"/>
        <v>0</v>
      </c>
      <c r="U555" s="107"/>
      <c r="V555" s="165"/>
      <c r="W555" s="28">
        <v>430</v>
      </c>
      <c r="X555" s="105">
        <v>1.59</v>
      </c>
      <c r="Y555" s="105">
        <v>10.6</v>
      </c>
      <c r="Z555" s="73" t="s">
        <v>601</v>
      </c>
      <c r="AA555" s="28">
        <v>300</v>
      </c>
    </row>
    <row r="556" spans="1:27" x14ac:dyDescent="0.25">
      <c r="A556" s="4"/>
      <c r="B556" s="98" t="s">
        <v>906</v>
      </c>
      <c r="C556" s="75" t="s">
        <v>886</v>
      </c>
      <c r="D556" s="102" t="s">
        <v>887</v>
      </c>
      <c r="E556" s="28">
        <f t="shared" si="391"/>
        <v>92182</v>
      </c>
      <c r="F556" s="143" t="str">
        <f>INDEX(PV_Summary!$B$18:$B$118,MATCH($E556,PV_Summary!$A$18:$A$118,0))</f>
        <v>S</v>
      </c>
      <c r="G556" s="123">
        <v>32.772374999999997</v>
      </c>
      <c r="H556" s="61">
        <v>-117.066446</v>
      </c>
      <c r="I556" s="44" t="s">
        <v>36</v>
      </c>
      <c r="J556" s="46">
        <f t="shared" si="393"/>
        <v>0.75</v>
      </c>
      <c r="K556" s="100"/>
      <c r="L556" s="44" t="str">
        <f t="shared" si="394"/>
        <v/>
      </c>
      <c r="M556" s="46">
        <f t="shared" si="395"/>
        <v>0.75</v>
      </c>
      <c r="N556" s="46"/>
      <c r="O556" s="41">
        <f t="shared" si="366"/>
        <v>0</v>
      </c>
      <c r="P556" s="42">
        <v>120000</v>
      </c>
      <c r="Q556" s="44" t="s">
        <v>36</v>
      </c>
      <c r="R556" s="28" t="s">
        <v>55</v>
      </c>
      <c r="S556" s="48">
        <f t="shared" si="377"/>
        <v>840000</v>
      </c>
      <c r="T556" s="48">
        <f t="shared" si="392"/>
        <v>0</v>
      </c>
      <c r="U556" s="107"/>
      <c r="V556" s="165"/>
      <c r="W556" s="28">
        <v>430</v>
      </c>
      <c r="X556" s="105">
        <v>1.59</v>
      </c>
      <c r="Y556" s="105">
        <v>10.6</v>
      </c>
      <c r="Z556" s="73" t="s">
        <v>601</v>
      </c>
      <c r="AA556" s="28">
        <v>300</v>
      </c>
    </row>
    <row r="557" spans="1:27" x14ac:dyDescent="0.25">
      <c r="A557" s="4"/>
      <c r="B557" s="98" t="s">
        <v>908</v>
      </c>
      <c r="C557" s="75" t="s">
        <v>886</v>
      </c>
      <c r="D557" s="102" t="s">
        <v>887</v>
      </c>
      <c r="E557" s="28">
        <f t="shared" ref="E557" si="396">RIGHT(TRIM(D557),5)*1</f>
        <v>92182</v>
      </c>
      <c r="F557" s="143" t="str">
        <f>INDEX(PV_Summary!$B$18:$B$118,MATCH($E557,PV_Summary!$A$18:$A$118,0))</f>
        <v>S</v>
      </c>
      <c r="G557" s="123">
        <v>32.771320000000003</v>
      </c>
      <c r="H557" s="61">
        <v>-117.066447</v>
      </c>
      <c r="I557" s="44" t="s">
        <v>36</v>
      </c>
      <c r="J557" s="46">
        <f t="shared" si="393"/>
        <v>0.75</v>
      </c>
      <c r="K557" s="100"/>
      <c r="L557" s="44" t="str">
        <f t="shared" si="394"/>
        <v/>
      </c>
      <c r="M557" s="46">
        <f t="shared" si="395"/>
        <v>0.75</v>
      </c>
      <c r="N557" s="46"/>
      <c r="O557" s="41">
        <f t="shared" si="366"/>
        <v>0</v>
      </c>
      <c r="P557" s="42">
        <v>108000</v>
      </c>
      <c r="Q557" s="44" t="s">
        <v>36</v>
      </c>
      <c r="R557" s="28" t="s">
        <v>55</v>
      </c>
      <c r="S557" s="48">
        <f t="shared" si="377"/>
        <v>756000</v>
      </c>
      <c r="T557" s="48">
        <f t="shared" si="392"/>
        <v>0</v>
      </c>
      <c r="U557" s="107"/>
      <c r="V557" s="165"/>
      <c r="W557" s="28">
        <v>430</v>
      </c>
      <c r="X557" s="105">
        <v>1.59</v>
      </c>
      <c r="Y557" s="105">
        <v>10.6</v>
      </c>
      <c r="Z557" s="73" t="s">
        <v>601</v>
      </c>
      <c r="AA557" s="28">
        <v>0</v>
      </c>
    </row>
    <row r="558" spans="1:27" x14ac:dyDescent="0.25">
      <c r="A558" s="4"/>
      <c r="B558" s="98" t="s">
        <v>910</v>
      </c>
      <c r="C558" s="75" t="s">
        <v>886</v>
      </c>
      <c r="D558" s="102" t="s">
        <v>887</v>
      </c>
      <c r="E558" s="28">
        <f t="shared" ref="E558:E561" si="397">RIGHT(TRIM(D558),5)*1</f>
        <v>92182</v>
      </c>
      <c r="F558" s="143" t="str">
        <f>INDEX(PV_Summary!$B$18:$B$118,MATCH($E558,PV_Summary!$A$18:$A$118,0))</f>
        <v>S</v>
      </c>
      <c r="G558" s="123">
        <v>32.771963999999997</v>
      </c>
      <c r="H558" s="61">
        <v>-117.07503699999999</v>
      </c>
      <c r="I558" s="44" t="s">
        <v>3</v>
      </c>
      <c r="J558" s="46">
        <f t="shared" si="393"/>
        <v>0.75</v>
      </c>
      <c r="K558" s="100"/>
      <c r="L558" s="44" t="str">
        <f t="shared" si="394"/>
        <v/>
      </c>
      <c r="M558" s="46">
        <f t="shared" si="395"/>
        <v>0.75</v>
      </c>
      <c r="N558" s="46"/>
      <c r="O558" s="41">
        <f t="shared" si="366"/>
        <v>0</v>
      </c>
      <c r="P558" s="42">
        <v>12000</v>
      </c>
      <c r="Q558" s="44" t="s">
        <v>3</v>
      </c>
      <c r="R558" s="28" t="s">
        <v>55</v>
      </c>
      <c r="S558" s="48">
        <f t="shared" si="377"/>
        <v>84000</v>
      </c>
      <c r="T558" s="48">
        <f t="shared" si="392"/>
        <v>0</v>
      </c>
      <c r="U558" s="107"/>
      <c r="V558" s="165"/>
      <c r="W558" s="28">
        <v>168</v>
      </c>
      <c r="X558" s="105">
        <v>1.29</v>
      </c>
      <c r="Y558" s="105">
        <v>8.61</v>
      </c>
      <c r="Z558" s="73" t="s">
        <v>601</v>
      </c>
      <c r="AA558" s="28">
        <v>0</v>
      </c>
    </row>
    <row r="559" spans="1:27" x14ac:dyDescent="0.25">
      <c r="A559" s="4"/>
      <c r="B559" s="98" t="s">
        <v>909</v>
      </c>
      <c r="C559" s="75" t="s">
        <v>886</v>
      </c>
      <c r="D559" s="102" t="s">
        <v>887</v>
      </c>
      <c r="E559" s="28">
        <f t="shared" si="397"/>
        <v>92182</v>
      </c>
      <c r="F559" s="143" t="str">
        <f>INDEX(PV_Summary!$B$18:$B$118,MATCH($E559,PV_Summary!$A$18:$A$118,0))</f>
        <v>S</v>
      </c>
      <c r="G559" s="123">
        <v>32.772061000000001</v>
      </c>
      <c r="H559" s="61">
        <v>-117.073958</v>
      </c>
      <c r="I559" s="44" t="s">
        <v>36</v>
      </c>
      <c r="J559" s="46">
        <f t="shared" si="393"/>
        <v>0.75</v>
      </c>
      <c r="K559" s="100"/>
      <c r="L559" s="44" t="str">
        <f t="shared" si="394"/>
        <v/>
      </c>
      <c r="M559" s="46">
        <f t="shared" si="395"/>
        <v>0.75</v>
      </c>
      <c r="N559" s="46"/>
      <c r="O559" s="41">
        <f t="shared" si="366"/>
        <v>0</v>
      </c>
      <c r="P559" s="42">
        <v>58000</v>
      </c>
      <c r="Q559" s="44" t="s">
        <v>36</v>
      </c>
      <c r="R559" s="28" t="s">
        <v>55</v>
      </c>
      <c r="S559" s="48">
        <f t="shared" si="377"/>
        <v>406000</v>
      </c>
      <c r="T559" s="48">
        <f t="shared" si="392"/>
        <v>0</v>
      </c>
      <c r="U559" s="107"/>
      <c r="V559" s="165"/>
      <c r="W559" s="28">
        <v>168</v>
      </c>
      <c r="X559" s="105">
        <v>1.29</v>
      </c>
      <c r="Y559" s="105">
        <v>8.61</v>
      </c>
      <c r="Z559" s="73" t="s">
        <v>601</v>
      </c>
      <c r="AA559" s="28">
        <v>0</v>
      </c>
    </row>
    <row r="560" spans="1:27" x14ac:dyDescent="0.25">
      <c r="A560" s="4"/>
      <c r="B560" s="98" t="s">
        <v>916</v>
      </c>
      <c r="C560" s="75" t="s">
        <v>886</v>
      </c>
      <c r="D560" s="102" t="s">
        <v>887</v>
      </c>
      <c r="E560" s="28">
        <f t="shared" si="397"/>
        <v>92182</v>
      </c>
      <c r="F560" s="143" t="str">
        <f>INDEX(PV_Summary!$B$18:$B$118,MATCH($E560,PV_Summary!$A$18:$A$118,0))</f>
        <v>S</v>
      </c>
      <c r="G560" s="123">
        <v>32.772882000000003</v>
      </c>
      <c r="H560" s="61">
        <v>-117.07132</v>
      </c>
      <c r="I560" s="44" t="s">
        <v>3</v>
      </c>
      <c r="J560" s="46">
        <f t="shared" ref="J560" si="398">IF(O560&gt;1,Sym_Scl_Aggr_Parent,IF(O560&lt;1,Sym_Scl_Aggr_Child,Sym_Scl_Normal))</f>
        <v>0.75</v>
      </c>
      <c r="K560" s="100"/>
      <c r="L560" s="44" t="str">
        <f t="shared" ref="L560" si="399">IF(O560&gt;1,"Total","")</f>
        <v/>
      </c>
      <c r="M560" s="46">
        <f t="shared" ref="M560" si="400">IF(O560&gt;1,Label_Scl_Aggr_Parent,IF(O560&lt;1,Label_Scl_Aggr_Child,Label_Scl_Normal))</f>
        <v>0.75</v>
      </c>
      <c r="N560" s="46"/>
      <c r="O560" s="41">
        <f t="shared" si="366"/>
        <v>0</v>
      </c>
      <c r="P560" s="42">
        <v>17000</v>
      </c>
      <c r="Q560" s="44" t="s">
        <v>3</v>
      </c>
      <c r="R560" s="28" t="s">
        <v>55</v>
      </c>
      <c r="S560" s="48">
        <f t="shared" si="377"/>
        <v>119000</v>
      </c>
      <c r="T560" s="48">
        <f t="shared" si="392"/>
        <v>0</v>
      </c>
      <c r="U560" s="107"/>
      <c r="V560" s="165"/>
      <c r="W560" s="28">
        <v>168</v>
      </c>
      <c r="X560" s="105">
        <v>1.29</v>
      </c>
      <c r="Y560" s="105">
        <v>8.61</v>
      </c>
      <c r="Z560" s="73" t="s">
        <v>601</v>
      </c>
      <c r="AA560" s="28">
        <v>0</v>
      </c>
    </row>
    <row r="561" spans="1:27" x14ac:dyDescent="0.25">
      <c r="A561" s="4"/>
      <c r="B561" s="62" t="s">
        <v>917</v>
      </c>
      <c r="C561" s="75" t="s">
        <v>918</v>
      </c>
      <c r="D561" s="102" t="s">
        <v>882</v>
      </c>
      <c r="E561" s="28">
        <f t="shared" si="397"/>
        <v>92120</v>
      </c>
      <c r="F561" s="143" t="str">
        <f>INDEX(PV_Summary!$B$18:$B$118,MATCH($E561,PV_Summary!$A$18:$A$118,0))</f>
        <v>S</v>
      </c>
      <c r="G561" s="123">
        <v>32.777045000000001</v>
      </c>
      <c r="H561" s="61">
        <v>-117.06142</v>
      </c>
      <c r="I561" s="44" t="s">
        <v>242</v>
      </c>
      <c r="J561" s="46">
        <f t="shared" ref="J561:J566" ca="1" si="401">IF(O561&gt;1,Sym_Scl_Aggr_Parent,IF(O561&lt;1,Sym_Scl_Aggr_Child,Sym_Scl_Normal))</f>
        <v>1.5</v>
      </c>
      <c r="K561" s="100"/>
      <c r="L561" s="44" t="str">
        <f t="shared" ref="L561:L566" ca="1" si="402">IF(O561&gt;1,"Total","")</f>
        <v>Total</v>
      </c>
      <c r="M561" s="46">
        <f t="shared" ref="M561:M566" ca="1" si="403">IF(O561&gt;1,Label_Scl_Aggr_Parent,IF(O561&lt;1,Label_Scl_Aggr_Child,Label_Scl_Normal))</f>
        <v>1.25</v>
      </c>
      <c r="N561" s="46"/>
      <c r="O561" s="41">
        <f t="shared" ca="1" si="366"/>
        <v>7</v>
      </c>
      <c r="Q561" s="44"/>
      <c r="S561" s="48">
        <f t="shared" si="377"/>
        <v>0</v>
      </c>
      <c r="T561" s="48">
        <f t="shared" ca="1" si="392"/>
        <v>1360800</v>
      </c>
      <c r="U561" s="107"/>
      <c r="V561" s="165"/>
      <c r="W561" s="28">
        <v>85</v>
      </c>
      <c r="X561" s="105">
        <v>0.57999999999999996</v>
      </c>
      <c r="Y561" s="105">
        <v>3.88</v>
      </c>
      <c r="Z561" s="73" t="s">
        <v>958</v>
      </c>
      <c r="AA561" s="28"/>
    </row>
    <row r="562" spans="1:27" x14ac:dyDescent="0.25">
      <c r="A562" s="4"/>
      <c r="B562" s="98" t="s">
        <v>919</v>
      </c>
      <c r="C562" s="75" t="s">
        <v>918</v>
      </c>
      <c r="D562" s="102" t="s">
        <v>882</v>
      </c>
      <c r="E562" s="28">
        <f t="shared" ref="E562:E570" si="404">RIGHT(TRIM(D562),5)*1</f>
        <v>92120</v>
      </c>
      <c r="F562" s="143" t="str">
        <f>INDEX(PV_Summary!$B$18:$B$118,MATCH($E562,PV_Summary!$A$18:$A$118,0))</f>
        <v>S</v>
      </c>
      <c r="G562" s="123">
        <v>32.777700000000003</v>
      </c>
      <c r="H562" s="61">
        <v>-117.062016</v>
      </c>
      <c r="I562" s="44" t="s">
        <v>3</v>
      </c>
      <c r="J562" s="46">
        <f t="shared" si="401"/>
        <v>0.75</v>
      </c>
      <c r="K562" s="100"/>
      <c r="L562" s="44" t="str">
        <f t="shared" si="402"/>
        <v/>
      </c>
      <c r="M562" s="46">
        <f t="shared" si="403"/>
        <v>0.75</v>
      </c>
      <c r="N562" s="46"/>
      <c r="O562" s="41">
        <f t="shared" si="366"/>
        <v>0</v>
      </c>
      <c r="P562" s="42">
        <v>56000</v>
      </c>
      <c r="Q562" s="44" t="s">
        <v>3</v>
      </c>
      <c r="R562" s="28" t="s">
        <v>55</v>
      </c>
      <c r="S562" s="48">
        <f t="shared" si="377"/>
        <v>392000</v>
      </c>
      <c r="T562" s="48">
        <f t="shared" si="392"/>
        <v>0</v>
      </c>
      <c r="U562" s="107"/>
      <c r="V562" s="165"/>
      <c r="W562" s="28">
        <v>85</v>
      </c>
      <c r="X562" s="105">
        <v>0.57999999999999996</v>
      </c>
      <c r="Y562" s="105">
        <v>3.88</v>
      </c>
      <c r="Z562" s="73" t="s">
        <v>958</v>
      </c>
      <c r="AA562" s="28">
        <v>50</v>
      </c>
    </row>
    <row r="563" spans="1:27" x14ac:dyDescent="0.25">
      <c r="A563" s="4"/>
      <c r="B563" s="98" t="s">
        <v>920</v>
      </c>
      <c r="C563" s="75" t="s">
        <v>918</v>
      </c>
      <c r="D563" s="102" t="s">
        <v>882</v>
      </c>
      <c r="E563" s="28">
        <f t="shared" si="404"/>
        <v>92120</v>
      </c>
      <c r="F563" s="143" t="str">
        <f>INDEX(PV_Summary!$B$18:$B$118,MATCH($E563,PV_Summary!$A$18:$A$118,0))</f>
        <v>S</v>
      </c>
      <c r="G563" s="123">
        <v>32.777714000000003</v>
      </c>
      <c r="H563" s="61">
        <v>-117.060783</v>
      </c>
      <c r="I563" s="44" t="s">
        <v>3</v>
      </c>
      <c r="J563" s="46">
        <f t="shared" si="401"/>
        <v>0.75</v>
      </c>
      <c r="K563" s="100"/>
      <c r="L563" s="44" t="str">
        <f t="shared" si="402"/>
        <v/>
      </c>
      <c r="M563" s="46">
        <f t="shared" si="403"/>
        <v>0.75</v>
      </c>
      <c r="N563" s="46"/>
      <c r="O563" s="41">
        <f t="shared" si="366"/>
        <v>0</v>
      </c>
      <c r="P563" s="42">
        <v>40000</v>
      </c>
      <c r="Q563" s="44" t="s">
        <v>3</v>
      </c>
      <c r="R563" s="28" t="s">
        <v>55</v>
      </c>
      <c r="S563" s="48">
        <f t="shared" si="377"/>
        <v>280000</v>
      </c>
      <c r="T563" s="48">
        <f t="shared" si="392"/>
        <v>0</v>
      </c>
      <c r="U563" s="107"/>
      <c r="V563" s="165"/>
      <c r="W563" s="28">
        <v>85</v>
      </c>
      <c r="X563" s="105">
        <v>0.57999999999999996</v>
      </c>
      <c r="Y563" s="105">
        <v>3.88</v>
      </c>
      <c r="Z563" s="73" t="s">
        <v>958</v>
      </c>
      <c r="AA563" s="28">
        <v>50</v>
      </c>
    </row>
    <row r="564" spans="1:27" x14ac:dyDescent="0.25">
      <c r="A564" s="4"/>
      <c r="B564" s="98" t="s">
        <v>921</v>
      </c>
      <c r="C564" s="75" t="s">
        <v>918</v>
      </c>
      <c r="D564" s="102" t="s">
        <v>882</v>
      </c>
      <c r="E564" s="28">
        <f t="shared" si="404"/>
        <v>92120</v>
      </c>
      <c r="F564" s="143" t="str">
        <f>INDEX(PV_Summary!$B$18:$B$118,MATCH($E564,PV_Summary!$A$18:$A$118,0))</f>
        <v>S</v>
      </c>
      <c r="G564" s="123">
        <v>32.776693000000002</v>
      </c>
      <c r="H564" s="61">
        <v>-117.06039699999999</v>
      </c>
      <c r="I564" s="44" t="s">
        <v>3</v>
      </c>
      <c r="J564" s="46">
        <f t="shared" si="401"/>
        <v>0.75</v>
      </c>
      <c r="K564" s="100"/>
      <c r="L564" s="44" t="str">
        <f t="shared" si="402"/>
        <v/>
      </c>
      <c r="M564" s="46">
        <f t="shared" si="403"/>
        <v>0.75</v>
      </c>
      <c r="N564" s="46"/>
      <c r="O564" s="41">
        <f t="shared" si="366"/>
        <v>0</v>
      </c>
      <c r="P564" s="42">
        <v>57000</v>
      </c>
      <c r="Q564" s="44" t="s">
        <v>3</v>
      </c>
      <c r="R564" s="28" t="s">
        <v>55</v>
      </c>
      <c r="S564" s="48">
        <f t="shared" si="377"/>
        <v>399000</v>
      </c>
      <c r="T564" s="48">
        <f t="shared" si="392"/>
        <v>0</v>
      </c>
      <c r="U564" s="107"/>
      <c r="V564" s="165"/>
      <c r="W564" s="28">
        <v>85</v>
      </c>
      <c r="X564" s="105">
        <v>0.57999999999999996</v>
      </c>
      <c r="Y564" s="105">
        <v>3.88</v>
      </c>
      <c r="Z564" s="73" t="s">
        <v>958</v>
      </c>
      <c r="AA564" s="28">
        <v>50</v>
      </c>
    </row>
    <row r="565" spans="1:27" x14ac:dyDescent="0.25">
      <c r="A565" s="4"/>
      <c r="B565" s="98" t="s">
        <v>922</v>
      </c>
      <c r="C565" s="75" t="s">
        <v>918</v>
      </c>
      <c r="D565" s="102" t="s">
        <v>882</v>
      </c>
      <c r="E565" s="28">
        <f t="shared" si="404"/>
        <v>92120</v>
      </c>
      <c r="F565" s="143" t="str">
        <f>INDEX(PV_Summary!$B$18:$B$118,MATCH($E565,PV_Summary!$A$18:$A$118,0))</f>
        <v>S</v>
      </c>
      <c r="G565" s="123">
        <v>32.777306000000003</v>
      </c>
      <c r="H565" s="61">
        <v>-117.060356</v>
      </c>
      <c r="I565" s="44" t="s">
        <v>37</v>
      </c>
      <c r="J565" s="46">
        <f t="shared" si="401"/>
        <v>0.75</v>
      </c>
      <c r="K565" s="100"/>
      <c r="L565" s="44" t="str">
        <f t="shared" si="402"/>
        <v/>
      </c>
      <c r="M565" s="46">
        <f t="shared" si="403"/>
        <v>0.75</v>
      </c>
      <c r="N565" s="46"/>
      <c r="O565" s="41">
        <f t="shared" si="366"/>
        <v>0</v>
      </c>
      <c r="P565" s="42">
        <v>22000</v>
      </c>
      <c r="Q565" s="44" t="s">
        <v>37</v>
      </c>
      <c r="R565" s="28" t="s">
        <v>55</v>
      </c>
      <c r="S565" s="48">
        <f t="shared" si="377"/>
        <v>154000</v>
      </c>
      <c r="T565" s="48">
        <f t="shared" si="392"/>
        <v>0</v>
      </c>
      <c r="U565" s="107"/>
      <c r="V565" s="165"/>
      <c r="W565" s="28">
        <v>85</v>
      </c>
      <c r="X565" s="105">
        <v>0.57999999999999996</v>
      </c>
      <c r="Y565" s="105">
        <v>3.88</v>
      </c>
      <c r="Z565" s="73" t="s">
        <v>958</v>
      </c>
      <c r="AA565" s="28">
        <v>100</v>
      </c>
    </row>
    <row r="566" spans="1:27" x14ac:dyDescent="0.25">
      <c r="A566" s="4"/>
      <c r="B566" s="98" t="s">
        <v>923</v>
      </c>
      <c r="C566" s="75" t="s">
        <v>918</v>
      </c>
      <c r="D566" s="102" t="s">
        <v>882</v>
      </c>
      <c r="E566" s="28">
        <f t="shared" si="404"/>
        <v>92120</v>
      </c>
      <c r="F566" s="143" t="str">
        <f>INDEX(PV_Summary!$B$18:$B$118,MATCH($E566,PV_Summary!$A$18:$A$118,0))</f>
        <v>S</v>
      </c>
      <c r="G566" s="123">
        <v>32.776482999999999</v>
      </c>
      <c r="H566" s="61">
        <v>-117.06162500000001</v>
      </c>
      <c r="I566" s="44" t="s">
        <v>3</v>
      </c>
      <c r="J566" s="46">
        <f t="shared" si="401"/>
        <v>0.75</v>
      </c>
      <c r="K566" s="100"/>
      <c r="L566" s="44" t="str">
        <f t="shared" si="402"/>
        <v/>
      </c>
      <c r="M566" s="46">
        <f t="shared" si="403"/>
        <v>0.75</v>
      </c>
      <c r="N566" s="46"/>
      <c r="O566" s="41">
        <f t="shared" si="366"/>
        <v>0</v>
      </c>
      <c r="P566" s="42">
        <v>10000</v>
      </c>
      <c r="Q566" s="44" t="s">
        <v>3</v>
      </c>
      <c r="R566" s="28" t="s">
        <v>55</v>
      </c>
      <c r="S566" s="48">
        <f t="shared" si="377"/>
        <v>70000</v>
      </c>
      <c r="T566" s="48">
        <f t="shared" si="392"/>
        <v>0</v>
      </c>
      <c r="U566" s="107"/>
      <c r="V566" s="165"/>
      <c r="W566" s="28">
        <v>85</v>
      </c>
      <c r="X566" s="105">
        <v>0.57999999999999996</v>
      </c>
      <c r="Y566" s="105">
        <v>3.88</v>
      </c>
      <c r="Z566" s="73" t="s">
        <v>958</v>
      </c>
      <c r="AA566" s="28">
        <v>300</v>
      </c>
    </row>
    <row r="567" spans="1:27" x14ac:dyDescent="0.25">
      <c r="A567" s="4"/>
      <c r="B567" s="98" t="s">
        <v>924</v>
      </c>
      <c r="C567" s="75" t="s">
        <v>918</v>
      </c>
      <c r="D567" s="102" t="s">
        <v>882</v>
      </c>
      <c r="E567" s="28">
        <f t="shared" si="404"/>
        <v>92120</v>
      </c>
      <c r="F567" s="143" t="str">
        <f>INDEX(PV_Summary!$B$18:$B$118,MATCH($E567,PV_Summary!$A$18:$A$118,0))</f>
        <v>S</v>
      </c>
      <c r="G567" s="123">
        <v>32.776381000000001</v>
      </c>
      <c r="H567" s="61">
        <v>-117.061234</v>
      </c>
      <c r="I567" s="44" t="s">
        <v>37</v>
      </c>
      <c r="J567" s="46">
        <f t="shared" ref="J567:J574" si="405">IF(O567&gt;1,Sym_Scl_Aggr_Parent,IF(O567&lt;1,Sym_Scl_Aggr_Child,Sym_Scl_Normal))</f>
        <v>0.75</v>
      </c>
      <c r="K567" s="100"/>
      <c r="L567" s="44" t="str">
        <f t="shared" ref="L567:L574" si="406">IF(O567&gt;1,"Total","")</f>
        <v/>
      </c>
      <c r="M567" s="46">
        <f t="shared" ref="M567:M574" si="407">IF(O567&gt;1,Label_Scl_Aggr_Parent,IF(O567&lt;1,Label_Scl_Aggr_Child,Label_Scl_Normal))</f>
        <v>0.75</v>
      </c>
      <c r="N567" s="46"/>
      <c r="O567" s="41">
        <f t="shared" si="366"/>
        <v>0</v>
      </c>
      <c r="P567" s="42">
        <f>10300-900</f>
        <v>9400</v>
      </c>
      <c r="Q567" s="44" t="s">
        <v>37</v>
      </c>
      <c r="R567" s="28" t="s">
        <v>55</v>
      </c>
      <c r="S567" s="48">
        <f t="shared" si="377"/>
        <v>65800</v>
      </c>
      <c r="T567" s="48">
        <f t="shared" si="392"/>
        <v>0</v>
      </c>
      <c r="U567" s="107"/>
      <c r="V567" s="165"/>
      <c r="W567" s="28">
        <v>85</v>
      </c>
      <c r="X567" s="105">
        <v>0.57999999999999996</v>
      </c>
      <c r="Y567" s="105">
        <v>3.88</v>
      </c>
      <c r="Z567" s="73" t="s">
        <v>958</v>
      </c>
      <c r="AA567" s="28">
        <v>300</v>
      </c>
    </row>
    <row r="568" spans="1:27" x14ac:dyDescent="0.25">
      <c r="A568" s="4"/>
      <c r="B568" s="62" t="s">
        <v>929</v>
      </c>
      <c r="C568" s="75" t="s">
        <v>927</v>
      </c>
      <c r="D568" s="102" t="s">
        <v>882</v>
      </c>
      <c r="E568" s="28">
        <f t="shared" si="404"/>
        <v>92120</v>
      </c>
      <c r="F568" s="143" t="str">
        <f>INDEX(PV_Summary!$B$18:$B$118,MATCH($E568,PV_Summary!$A$18:$A$118,0))</f>
        <v>S</v>
      </c>
      <c r="G568" s="123">
        <v>32.776375000000002</v>
      </c>
      <c r="H568" s="61">
        <v>-117.05641300000001</v>
      </c>
      <c r="I568" s="44" t="s">
        <v>242</v>
      </c>
      <c r="J568" s="46">
        <f t="shared" ca="1" si="405"/>
        <v>1.5</v>
      </c>
      <c r="K568" s="100"/>
      <c r="L568" s="44" t="str">
        <f t="shared" ca="1" si="406"/>
        <v>Total</v>
      </c>
      <c r="M568" s="46">
        <f t="shared" ca="1" si="407"/>
        <v>1.25</v>
      </c>
      <c r="N568" s="46"/>
      <c r="O568" s="41">
        <f t="shared" ca="1" si="366"/>
        <v>7</v>
      </c>
      <c r="Q568" s="44"/>
      <c r="S568" s="48">
        <f t="shared" si="377"/>
        <v>0</v>
      </c>
      <c r="T568" s="48">
        <f t="shared" ca="1" si="392"/>
        <v>1334200</v>
      </c>
      <c r="U568" s="107"/>
      <c r="V568" s="165"/>
      <c r="W568" s="28">
        <v>88</v>
      </c>
      <c r="X568" s="105">
        <v>1.38</v>
      </c>
      <c r="Y568" s="105">
        <v>9.17</v>
      </c>
      <c r="Z568" s="73" t="s">
        <v>958</v>
      </c>
      <c r="AA568" s="28"/>
    </row>
    <row r="569" spans="1:27" x14ac:dyDescent="0.25">
      <c r="A569" s="4"/>
      <c r="B569" s="98" t="s">
        <v>928</v>
      </c>
      <c r="C569" s="75" t="s">
        <v>927</v>
      </c>
      <c r="D569" s="102" t="s">
        <v>882</v>
      </c>
      <c r="E569" s="28">
        <f t="shared" si="404"/>
        <v>92120</v>
      </c>
      <c r="F569" s="143" t="str">
        <f>INDEX(PV_Summary!$B$18:$B$118,MATCH($E569,PV_Summary!$A$18:$A$118,0))</f>
        <v>S</v>
      </c>
      <c r="G569" s="123">
        <v>32.775855999999997</v>
      </c>
      <c r="H569" s="61">
        <v>-117.05744199999999</v>
      </c>
      <c r="I569" s="44" t="s">
        <v>36</v>
      </c>
      <c r="J569" s="46">
        <f t="shared" si="405"/>
        <v>0.75</v>
      </c>
      <c r="K569" s="100"/>
      <c r="L569" s="44" t="str">
        <f t="shared" si="406"/>
        <v/>
      </c>
      <c r="M569" s="46">
        <f t="shared" si="407"/>
        <v>0.75</v>
      </c>
      <c r="N569" s="46"/>
      <c r="O569" s="41">
        <f t="shared" si="366"/>
        <v>0</v>
      </c>
      <c r="P569" s="42">
        <v>52000</v>
      </c>
      <c r="Q569" s="44" t="s">
        <v>37</v>
      </c>
      <c r="R569" s="28" t="s">
        <v>55</v>
      </c>
      <c r="S569" s="48">
        <f t="shared" si="377"/>
        <v>364000</v>
      </c>
      <c r="T569" s="48">
        <f t="shared" si="392"/>
        <v>0</v>
      </c>
      <c r="U569" s="107"/>
      <c r="V569" s="165"/>
      <c r="W569" s="28">
        <v>88</v>
      </c>
      <c r="X569" s="105">
        <v>1.38</v>
      </c>
      <c r="Y569" s="105">
        <v>9.17</v>
      </c>
      <c r="Z569" s="73" t="s">
        <v>958</v>
      </c>
      <c r="AA569" s="28">
        <v>0</v>
      </c>
    </row>
    <row r="570" spans="1:27" x14ac:dyDescent="0.25">
      <c r="A570" s="4"/>
      <c r="B570" s="98" t="s">
        <v>935</v>
      </c>
      <c r="C570" s="75" t="s">
        <v>927</v>
      </c>
      <c r="D570" s="102" t="s">
        <v>882</v>
      </c>
      <c r="E570" s="28">
        <f t="shared" si="404"/>
        <v>92120</v>
      </c>
      <c r="F570" s="143" t="str">
        <f>INDEX(PV_Summary!$B$18:$B$118,MATCH($E570,PV_Summary!$A$18:$A$118,0))</f>
        <v>S</v>
      </c>
      <c r="G570" s="123">
        <v>32.776153000000001</v>
      </c>
      <c r="H570" s="61">
        <v>-117.055893</v>
      </c>
      <c r="I570" s="44" t="s">
        <v>37</v>
      </c>
      <c r="J570" s="46">
        <f t="shared" si="405"/>
        <v>0.75</v>
      </c>
      <c r="K570" s="100"/>
      <c r="L570" s="44" t="str">
        <f t="shared" si="406"/>
        <v/>
      </c>
      <c r="M570" s="46">
        <f t="shared" si="407"/>
        <v>0.75</v>
      </c>
      <c r="N570" s="46"/>
      <c r="O570" s="41">
        <f t="shared" si="366"/>
        <v>0</v>
      </c>
      <c r="P570" s="42">
        <f>9600+9000</f>
        <v>18600</v>
      </c>
      <c r="Q570" s="44" t="s">
        <v>37</v>
      </c>
      <c r="R570" s="28" t="s">
        <v>55</v>
      </c>
      <c r="S570" s="48">
        <f t="shared" si="377"/>
        <v>130200</v>
      </c>
      <c r="T570" s="48">
        <f t="shared" si="392"/>
        <v>0</v>
      </c>
      <c r="U570" s="107" t="s">
        <v>934</v>
      </c>
      <c r="V570" s="165"/>
      <c r="W570" s="28">
        <v>88</v>
      </c>
      <c r="X570" s="105">
        <v>1.38</v>
      </c>
      <c r="Y570" s="105">
        <v>9.17</v>
      </c>
      <c r="Z570" s="73" t="s">
        <v>958</v>
      </c>
      <c r="AA570" s="28">
        <v>0</v>
      </c>
    </row>
    <row r="571" spans="1:27" x14ac:dyDescent="0.25">
      <c r="A571" s="4"/>
      <c r="B571" s="98" t="s">
        <v>930</v>
      </c>
      <c r="C571" s="75" t="s">
        <v>927</v>
      </c>
      <c r="D571" s="102" t="s">
        <v>882</v>
      </c>
      <c r="E571" s="28">
        <f t="shared" ref="E571:E579" si="408">RIGHT(TRIM(D571),5)*1</f>
        <v>92120</v>
      </c>
      <c r="F571" s="143" t="str">
        <f>INDEX(PV_Summary!$B$18:$B$118,MATCH($E571,PV_Summary!$A$18:$A$118,0))</f>
        <v>S</v>
      </c>
      <c r="G571" s="123">
        <v>32.776659000000002</v>
      </c>
      <c r="H571" s="61">
        <v>-117.05593500000001</v>
      </c>
      <c r="I571" s="44" t="s">
        <v>3</v>
      </c>
      <c r="J571" s="46">
        <f t="shared" si="405"/>
        <v>0.75</v>
      </c>
      <c r="K571" s="100"/>
      <c r="L571" s="44" t="str">
        <f t="shared" si="406"/>
        <v/>
      </c>
      <c r="M571" s="46">
        <f t="shared" si="407"/>
        <v>0.75</v>
      </c>
      <c r="N571" s="46"/>
      <c r="O571" s="41">
        <f t="shared" si="366"/>
        <v>0</v>
      </c>
      <c r="P571" s="42">
        <v>22000</v>
      </c>
      <c r="Q571" s="44" t="s">
        <v>3</v>
      </c>
      <c r="R571" s="28" t="s">
        <v>55</v>
      </c>
      <c r="S571" s="48">
        <f t="shared" si="377"/>
        <v>154000</v>
      </c>
      <c r="T571" s="48">
        <f t="shared" si="392"/>
        <v>0</v>
      </c>
      <c r="U571" s="107" t="s">
        <v>934</v>
      </c>
      <c r="V571" s="165"/>
      <c r="W571" s="28">
        <v>88</v>
      </c>
      <c r="X571" s="105">
        <v>1.38</v>
      </c>
      <c r="Y571" s="105">
        <v>9.17</v>
      </c>
      <c r="Z571" s="73" t="s">
        <v>958</v>
      </c>
      <c r="AA571" s="28">
        <v>0</v>
      </c>
    </row>
    <row r="572" spans="1:27" x14ac:dyDescent="0.25">
      <c r="A572" s="4"/>
      <c r="B572" s="98" t="s">
        <v>931</v>
      </c>
      <c r="C572" s="75" t="s">
        <v>927</v>
      </c>
      <c r="D572" s="102" t="s">
        <v>882</v>
      </c>
      <c r="E572" s="28">
        <f t="shared" si="408"/>
        <v>92120</v>
      </c>
      <c r="F572" s="143" t="str">
        <f>INDEX(PV_Summary!$B$18:$B$118,MATCH($E572,PV_Summary!$A$18:$A$118,0))</f>
        <v>S</v>
      </c>
      <c r="G572" s="123">
        <v>32.775683000000001</v>
      </c>
      <c r="H572" s="61">
        <v>-117.056179</v>
      </c>
      <c r="I572" s="44" t="s">
        <v>3</v>
      </c>
      <c r="J572" s="46">
        <f t="shared" si="405"/>
        <v>0.75</v>
      </c>
      <c r="K572" s="100"/>
      <c r="L572" s="44" t="str">
        <f t="shared" si="406"/>
        <v/>
      </c>
      <c r="M572" s="46">
        <f t="shared" si="407"/>
        <v>0.75</v>
      </c>
      <c r="N572" s="46"/>
      <c r="O572" s="41">
        <f t="shared" si="366"/>
        <v>0</v>
      </c>
      <c r="P572" s="42">
        <v>42000</v>
      </c>
      <c r="Q572" s="44" t="s">
        <v>3</v>
      </c>
      <c r="R572" s="28" t="s">
        <v>55</v>
      </c>
      <c r="S572" s="48">
        <f t="shared" si="377"/>
        <v>294000</v>
      </c>
      <c r="T572" s="48">
        <f t="shared" si="392"/>
        <v>0</v>
      </c>
      <c r="U572" s="107" t="s">
        <v>934</v>
      </c>
      <c r="V572" s="165"/>
      <c r="W572" s="28">
        <v>88</v>
      </c>
      <c r="X572" s="105">
        <v>1.38</v>
      </c>
      <c r="Y572" s="105">
        <v>9.17</v>
      </c>
      <c r="Z572" s="73" t="s">
        <v>958</v>
      </c>
      <c r="AA572" s="28">
        <v>0</v>
      </c>
    </row>
    <row r="573" spans="1:27" x14ac:dyDescent="0.25">
      <c r="A573" s="4"/>
      <c r="B573" s="98" t="s">
        <v>932</v>
      </c>
      <c r="C573" s="75" t="s">
        <v>927</v>
      </c>
      <c r="D573" s="102" t="s">
        <v>882</v>
      </c>
      <c r="E573" s="28">
        <f t="shared" si="408"/>
        <v>92120</v>
      </c>
      <c r="F573" s="143" t="str">
        <f>INDEX(PV_Summary!$B$18:$B$118,MATCH($E573,PV_Summary!$A$18:$A$118,0))</f>
        <v>S</v>
      </c>
      <c r="G573" s="123">
        <v>32.775933000000002</v>
      </c>
      <c r="H573" s="61">
        <v>-117.054891</v>
      </c>
      <c r="I573" s="44" t="s">
        <v>3</v>
      </c>
      <c r="J573" s="46">
        <f t="shared" si="405"/>
        <v>0.75</v>
      </c>
      <c r="K573" s="100"/>
      <c r="L573" s="44" t="str">
        <f t="shared" si="406"/>
        <v/>
      </c>
      <c r="M573" s="46">
        <f t="shared" si="407"/>
        <v>0.75</v>
      </c>
      <c r="N573" s="46"/>
      <c r="O573" s="41">
        <f t="shared" ref="O573:O658" si="409">IF($C573=$C572,0,COUNTIFS(Address,$C573))</f>
        <v>0</v>
      </c>
      <c r="P573" s="42">
        <v>43000</v>
      </c>
      <c r="Q573" s="44" t="s">
        <v>3</v>
      </c>
      <c r="R573" s="28" t="s">
        <v>55</v>
      </c>
      <c r="S573" s="48">
        <f t="shared" si="377"/>
        <v>301000</v>
      </c>
      <c r="T573" s="48">
        <f t="shared" si="392"/>
        <v>0</v>
      </c>
      <c r="U573" s="107" t="s">
        <v>934</v>
      </c>
      <c r="V573" s="165"/>
      <c r="W573" s="28">
        <v>88</v>
      </c>
      <c r="X573" s="105">
        <v>1.38</v>
      </c>
      <c r="Y573" s="105">
        <v>9.17</v>
      </c>
      <c r="Z573" s="73" t="s">
        <v>958</v>
      </c>
      <c r="AA573" s="28">
        <v>0</v>
      </c>
    </row>
    <row r="574" spans="1:27" x14ac:dyDescent="0.25">
      <c r="A574" s="4"/>
      <c r="B574" s="98" t="s">
        <v>933</v>
      </c>
      <c r="C574" s="75" t="s">
        <v>927</v>
      </c>
      <c r="D574" s="102" t="s">
        <v>882</v>
      </c>
      <c r="E574" s="28">
        <f t="shared" si="408"/>
        <v>92120</v>
      </c>
      <c r="F574" s="143" t="str">
        <f>INDEX(PV_Summary!$B$18:$B$118,MATCH($E574,PV_Summary!$A$18:$A$118,0))</f>
        <v>S</v>
      </c>
      <c r="G574" s="123">
        <v>32.776403999999999</v>
      </c>
      <c r="H574" s="61">
        <v>-117.054587</v>
      </c>
      <c r="I574" s="44" t="s">
        <v>3</v>
      </c>
      <c r="J574" s="46">
        <f t="shared" si="405"/>
        <v>0.75</v>
      </c>
      <c r="K574" s="100"/>
      <c r="L574" s="44" t="str">
        <f t="shared" si="406"/>
        <v/>
      </c>
      <c r="M574" s="46">
        <f t="shared" si="407"/>
        <v>0.75</v>
      </c>
      <c r="N574" s="46"/>
      <c r="O574" s="41">
        <f t="shared" si="409"/>
        <v>0</v>
      </c>
      <c r="P574" s="42">
        <v>13000</v>
      </c>
      <c r="Q574" s="44" t="s">
        <v>3</v>
      </c>
      <c r="R574" s="28" t="s">
        <v>55</v>
      </c>
      <c r="S574" s="48">
        <f t="shared" si="377"/>
        <v>91000</v>
      </c>
      <c r="T574" s="48">
        <f t="shared" si="392"/>
        <v>0</v>
      </c>
      <c r="U574" s="107" t="s">
        <v>934</v>
      </c>
      <c r="V574" s="165"/>
      <c r="W574" s="28">
        <v>88</v>
      </c>
      <c r="X574" s="105">
        <v>1.38</v>
      </c>
      <c r="Y574" s="105">
        <v>9.17</v>
      </c>
      <c r="Z574" s="73" t="s">
        <v>958</v>
      </c>
      <c r="AA574" s="28">
        <v>0</v>
      </c>
    </row>
    <row r="575" spans="1:27" x14ac:dyDescent="0.25">
      <c r="A575" s="4"/>
      <c r="B575" s="62" t="s">
        <v>1517</v>
      </c>
      <c r="C575" s="75" t="s">
        <v>1515</v>
      </c>
      <c r="D575" s="102" t="s">
        <v>1516</v>
      </c>
      <c r="E575" s="28">
        <f t="shared" ref="E575" si="410">RIGHT(TRIM(D575),5)*1</f>
        <v>92105</v>
      </c>
      <c r="F575" s="143" t="str">
        <f>INDEX(PV_Summary!$B$18:$B$118,MATCH($E575,PV_Summary!$A$18:$A$118,0))</f>
        <v>S</v>
      </c>
      <c r="G575" s="123">
        <v>32.747338999999997</v>
      </c>
      <c r="H575" s="61">
        <v>-117.078514</v>
      </c>
      <c r="I575" s="44" t="s">
        <v>62</v>
      </c>
      <c r="J575" s="46">
        <f t="shared" ref="J575:J579" ca="1" si="411">IF(O575&gt;1,Sym_Scl_Aggr_Parent,IF(O575&lt;1,Sym_Scl_Aggr_Child,Sym_Scl_Normal))</f>
        <v>1.5</v>
      </c>
      <c r="K575" s="100"/>
      <c r="L575" s="44" t="str">
        <f t="shared" ref="L575:L579" ca="1" si="412">IF(O575&gt;1,"Total","")</f>
        <v>Total</v>
      </c>
      <c r="M575" s="46">
        <f t="shared" ref="M575:M579" ca="1" si="413">IF(O575&gt;1,Label_Scl_Aggr_Parent,IF(O575&lt;1,Label_Scl_Aggr_Child,Label_Scl_Normal))</f>
        <v>1.25</v>
      </c>
      <c r="N575" s="46"/>
      <c r="O575" s="41">
        <f t="shared" ca="1" si="409"/>
        <v>4</v>
      </c>
      <c r="Q575" s="44"/>
      <c r="S575" s="48">
        <f t="shared" si="377"/>
        <v>0</v>
      </c>
      <c r="T575" s="48">
        <f t="shared" ca="1" si="392"/>
        <v>1547000</v>
      </c>
      <c r="U575" s="107"/>
      <c r="V575" s="165"/>
      <c r="W575" s="28">
        <v>169</v>
      </c>
      <c r="X575" s="105">
        <v>1.31</v>
      </c>
      <c r="Y575" s="105">
        <v>8.7100000000000009</v>
      </c>
      <c r="Z575" s="73" t="s">
        <v>601</v>
      </c>
      <c r="AA575" s="28"/>
    </row>
    <row r="576" spans="1:27" x14ac:dyDescent="0.25">
      <c r="A576" s="4"/>
      <c r="B576" s="98" t="s">
        <v>1520</v>
      </c>
      <c r="C576" s="75" t="s">
        <v>1515</v>
      </c>
      <c r="D576" s="102" t="s">
        <v>1516</v>
      </c>
      <c r="E576" s="28">
        <f t="shared" ref="E576:E578" si="414">RIGHT(TRIM(D576),5)*1</f>
        <v>92105</v>
      </c>
      <c r="F576" s="143" t="str">
        <f>INDEX(PV_Summary!$B$18:$B$118,MATCH($E576,PV_Summary!$A$18:$A$118,0))</f>
        <v>S</v>
      </c>
      <c r="G576" s="123">
        <v>32.747694000000003</v>
      </c>
      <c r="H576" s="61">
        <v>-117.078203</v>
      </c>
      <c r="I576" s="44" t="s">
        <v>3</v>
      </c>
      <c r="J576" s="46">
        <f t="shared" si="411"/>
        <v>0.75</v>
      </c>
      <c r="K576" s="100"/>
      <c r="L576" s="44" t="str">
        <f t="shared" si="412"/>
        <v/>
      </c>
      <c r="M576" s="46">
        <f t="shared" si="413"/>
        <v>0.75</v>
      </c>
      <c r="N576" s="46"/>
      <c r="O576" s="41">
        <f t="shared" si="409"/>
        <v>0</v>
      </c>
      <c r="P576" s="42">
        <v>118000</v>
      </c>
      <c r="Q576" s="44" t="s">
        <v>3</v>
      </c>
      <c r="R576" s="28" t="s">
        <v>55</v>
      </c>
      <c r="S576" s="48">
        <f t="shared" si="377"/>
        <v>826000</v>
      </c>
      <c r="T576" s="48">
        <f t="shared" si="392"/>
        <v>0</v>
      </c>
      <c r="U576" s="107"/>
      <c r="V576" s="165"/>
      <c r="W576" s="28">
        <v>169</v>
      </c>
      <c r="X576" s="105">
        <v>1.31</v>
      </c>
      <c r="Y576" s="105">
        <v>8.7100000000000009</v>
      </c>
      <c r="Z576" s="73" t="s">
        <v>601</v>
      </c>
      <c r="AA576" s="28">
        <v>0</v>
      </c>
    </row>
    <row r="577" spans="1:27" x14ac:dyDescent="0.25">
      <c r="A577" s="4"/>
      <c r="B577" s="98" t="s">
        <v>1519</v>
      </c>
      <c r="C577" s="75" t="s">
        <v>1515</v>
      </c>
      <c r="D577" s="102" t="s">
        <v>1516</v>
      </c>
      <c r="E577" s="28">
        <f t="shared" ref="E577" si="415">RIGHT(TRIM(D577),5)*1</f>
        <v>92105</v>
      </c>
      <c r="F577" s="143" t="str">
        <f>INDEX(PV_Summary!$B$18:$B$118,MATCH($E577,PV_Summary!$A$18:$A$118,0))</f>
        <v>S</v>
      </c>
      <c r="G577" s="123">
        <v>32.746806999999997</v>
      </c>
      <c r="H577" s="61">
        <v>-117.07912</v>
      </c>
      <c r="I577" s="44" t="s">
        <v>3</v>
      </c>
      <c r="J577" s="46">
        <f t="shared" si="411"/>
        <v>0.75</v>
      </c>
      <c r="K577" s="100"/>
      <c r="L577" s="44" t="str">
        <f t="shared" si="412"/>
        <v/>
      </c>
      <c r="M577" s="46">
        <f t="shared" si="413"/>
        <v>0.75</v>
      </c>
      <c r="N577" s="46"/>
      <c r="O577" s="41">
        <f t="shared" si="409"/>
        <v>0</v>
      </c>
      <c r="P577" s="42">
        <v>46000</v>
      </c>
      <c r="Q577" s="44" t="s">
        <v>3</v>
      </c>
      <c r="R577" s="28" t="s">
        <v>55</v>
      </c>
      <c r="S577" s="48">
        <f t="shared" si="377"/>
        <v>322000</v>
      </c>
      <c r="T577" s="48">
        <f t="shared" si="392"/>
        <v>0</v>
      </c>
      <c r="U577" s="107"/>
      <c r="V577" s="165"/>
      <c r="W577" s="28">
        <v>169</v>
      </c>
      <c r="X577" s="105">
        <v>1.31</v>
      </c>
      <c r="Y577" s="105">
        <v>8.7100000000000009</v>
      </c>
      <c r="Z577" s="73" t="s">
        <v>601</v>
      </c>
      <c r="AA577" s="28">
        <v>0</v>
      </c>
    </row>
    <row r="578" spans="1:27" x14ac:dyDescent="0.25">
      <c r="A578" s="4"/>
      <c r="B578" s="98" t="s">
        <v>1518</v>
      </c>
      <c r="C578" s="75" t="s">
        <v>1515</v>
      </c>
      <c r="D578" s="102" t="s">
        <v>1516</v>
      </c>
      <c r="E578" s="28">
        <f t="shared" si="414"/>
        <v>92105</v>
      </c>
      <c r="F578" s="143" t="str">
        <f>INDEX(PV_Summary!$B$18:$B$118,MATCH($E578,PV_Summary!$A$18:$A$118,0))</f>
        <v>S</v>
      </c>
      <c r="G578" s="123">
        <v>32.747042999999998</v>
      </c>
      <c r="H578" s="61">
        <v>-117.07817799999999</v>
      </c>
      <c r="I578" s="44" t="s">
        <v>37</v>
      </c>
      <c r="J578" s="46">
        <f t="shared" si="411"/>
        <v>0.75</v>
      </c>
      <c r="K578" s="100"/>
      <c r="L578" s="44" t="str">
        <f t="shared" si="412"/>
        <v/>
      </c>
      <c r="M578" s="46">
        <f t="shared" si="413"/>
        <v>0.75</v>
      </c>
      <c r="N578" s="46"/>
      <c r="O578" s="41">
        <f t="shared" si="409"/>
        <v>0</v>
      </c>
      <c r="P578" s="42">
        <v>57000</v>
      </c>
      <c r="Q578" s="44" t="s">
        <v>3</v>
      </c>
      <c r="R578" s="28" t="s">
        <v>55</v>
      </c>
      <c r="S578" s="48">
        <f t="shared" si="377"/>
        <v>399000</v>
      </c>
      <c r="T578" s="48">
        <f t="shared" si="392"/>
        <v>0</v>
      </c>
      <c r="U578" s="107"/>
      <c r="V578" s="165"/>
      <c r="W578" s="28">
        <v>169</v>
      </c>
      <c r="X578" s="105">
        <v>1.31</v>
      </c>
      <c r="Y578" s="105">
        <v>8.7100000000000009</v>
      </c>
      <c r="Z578" s="73" t="s">
        <v>601</v>
      </c>
      <c r="AA578" s="28">
        <v>0</v>
      </c>
    </row>
    <row r="579" spans="1:27" x14ac:dyDescent="0.25">
      <c r="A579" s="4"/>
      <c r="B579" s="62" t="s">
        <v>936</v>
      </c>
      <c r="C579" s="75" t="s">
        <v>937</v>
      </c>
      <c r="D579" s="102" t="s">
        <v>938</v>
      </c>
      <c r="E579" s="28">
        <f t="shared" si="408"/>
        <v>92115</v>
      </c>
      <c r="F579" s="143" t="str">
        <f>INDEX(PV_Summary!$B$18:$B$118,MATCH($E579,PV_Summary!$A$18:$A$118,0))</f>
        <v>S</v>
      </c>
      <c r="G579" s="123">
        <v>32.741230000000002</v>
      </c>
      <c r="H579" s="61">
        <v>-117.05513000000001</v>
      </c>
      <c r="I579" s="44" t="s">
        <v>62</v>
      </c>
      <c r="J579" s="46">
        <f t="shared" ca="1" si="411"/>
        <v>1.5</v>
      </c>
      <c r="K579" s="100"/>
      <c r="L579" s="44" t="str">
        <f t="shared" ca="1" si="412"/>
        <v>Total</v>
      </c>
      <c r="M579" s="46">
        <f t="shared" ca="1" si="413"/>
        <v>1.25</v>
      </c>
      <c r="N579" s="46"/>
      <c r="O579" s="41">
        <f t="shared" ca="1" si="409"/>
        <v>10</v>
      </c>
      <c r="Q579" s="44"/>
      <c r="S579" s="48">
        <f t="shared" si="377"/>
        <v>0</v>
      </c>
      <c r="T579" s="48">
        <f t="shared" ca="1" si="392"/>
        <v>6136000</v>
      </c>
      <c r="U579" s="107"/>
      <c r="V579" s="165"/>
      <c r="W579" s="28">
        <v>164</v>
      </c>
      <c r="X579" s="105">
        <v>1.23</v>
      </c>
      <c r="Y579" s="105">
        <v>8.19</v>
      </c>
      <c r="Z579" s="73" t="s">
        <v>959</v>
      </c>
      <c r="AA579" s="28"/>
    </row>
    <row r="580" spans="1:27" x14ac:dyDescent="0.25">
      <c r="A580" s="4"/>
      <c r="B580" s="98" t="s">
        <v>939</v>
      </c>
      <c r="C580" s="75" t="s">
        <v>937</v>
      </c>
      <c r="D580" s="102" t="s">
        <v>938</v>
      </c>
      <c r="E580" s="28">
        <f t="shared" ref="E580:E592" si="416">RIGHT(TRIM(D580),5)*1</f>
        <v>92115</v>
      </c>
      <c r="F580" s="143" t="str">
        <f>INDEX(PV_Summary!$B$18:$B$118,MATCH($E580,PV_Summary!$A$18:$A$118,0))</f>
        <v>S</v>
      </c>
      <c r="G580" s="123">
        <v>32.743188000000004</v>
      </c>
      <c r="H580" s="61">
        <v>-117.053872</v>
      </c>
      <c r="I580" s="44" t="s">
        <v>3</v>
      </c>
      <c r="J580" s="46">
        <f t="shared" ref="J580:J587" si="417">IF(O580&gt;1,Sym_Scl_Aggr_Parent,IF(O580&lt;1,Sym_Scl_Aggr_Child,Sym_Scl_Normal))</f>
        <v>0.75</v>
      </c>
      <c r="K580" s="100"/>
      <c r="L580" s="44" t="str">
        <f t="shared" ref="L580:L587" si="418">IF(O580&gt;1,"Total","")</f>
        <v/>
      </c>
      <c r="M580" s="46">
        <f t="shared" ref="M580:M587" si="419">IF(O580&gt;1,Label_Scl_Aggr_Parent,IF(O580&lt;1,Label_Scl_Aggr_Child,Label_Scl_Normal))</f>
        <v>0.75</v>
      </c>
      <c r="N580" s="46"/>
      <c r="O580" s="41">
        <f t="shared" si="409"/>
        <v>0</v>
      </c>
      <c r="P580" s="42">
        <v>109000</v>
      </c>
      <c r="Q580" s="44" t="s">
        <v>3</v>
      </c>
      <c r="R580" s="28" t="s">
        <v>55</v>
      </c>
      <c r="S580" s="48">
        <f t="shared" si="377"/>
        <v>763000</v>
      </c>
      <c r="T580" s="48">
        <f t="shared" si="392"/>
        <v>0</v>
      </c>
      <c r="U580" s="107"/>
      <c r="V580" s="165"/>
      <c r="W580" s="28">
        <v>164</v>
      </c>
      <c r="X580" s="105">
        <v>1.23</v>
      </c>
      <c r="Y580" s="105">
        <v>8.19</v>
      </c>
      <c r="Z580" s="73" t="s">
        <v>959</v>
      </c>
      <c r="AA580" s="28">
        <v>0</v>
      </c>
    </row>
    <row r="581" spans="1:27" x14ac:dyDescent="0.25">
      <c r="A581" s="4"/>
      <c r="B581" s="98" t="s">
        <v>940</v>
      </c>
      <c r="C581" s="75" t="s">
        <v>937</v>
      </c>
      <c r="D581" s="102" t="s">
        <v>938</v>
      </c>
      <c r="E581" s="28">
        <f t="shared" si="416"/>
        <v>92115</v>
      </c>
      <c r="F581" s="143" t="str">
        <f>INDEX(PV_Summary!$B$18:$B$118,MATCH($E581,PV_Summary!$A$18:$A$118,0))</f>
        <v>S</v>
      </c>
      <c r="G581" s="123">
        <v>32.741853999999996</v>
      </c>
      <c r="H581" s="61">
        <v>-117.0557</v>
      </c>
      <c r="I581" s="44" t="s">
        <v>3</v>
      </c>
      <c r="J581" s="46">
        <f t="shared" si="417"/>
        <v>0.75</v>
      </c>
      <c r="K581" s="100"/>
      <c r="L581" s="44" t="str">
        <f t="shared" si="418"/>
        <v/>
      </c>
      <c r="M581" s="46">
        <f t="shared" si="419"/>
        <v>0.75</v>
      </c>
      <c r="N581" s="46"/>
      <c r="O581" s="41">
        <f t="shared" si="409"/>
        <v>0</v>
      </c>
      <c r="P581" s="42">
        <v>197000</v>
      </c>
      <c r="Q581" s="44" t="s">
        <v>3</v>
      </c>
      <c r="R581" s="28" t="s">
        <v>55</v>
      </c>
      <c r="S581" s="48">
        <f t="shared" si="377"/>
        <v>1379000</v>
      </c>
      <c r="T581" s="48">
        <f t="shared" si="392"/>
        <v>0</v>
      </c>
      <c r="U581" s="107"/>
      <c r="V581" s="165"/>
      <c r="W581" s="28">
        <v>164</v>
      </c>
      <c r="X581" s="105">
        <v>1.23</v>
      </c>
      <c r="Y581" s="105">
        <v>8.19</v>
      </c>
      <c r="Z581" s="73" t="s">
        <v>959</v>
      </c>
      <c r="AA581" s="28">
        <v>0</v>
      </c>
    </row>
    <row r="582" spans="1:27" x14ac:dyDescent="0.25">
      <c r="A582" s="4"/>
      <c r="B582" s="98" t="s">
        <v>941</v>
      </c>
      <c r="C582" s="75" t="s">
        <v>937</v>
      </c>
      <c r="D582" s="102" t="s">
        <v>938</v>
      </c>
      <c r="E582" s="28">
        <f t="shared" si="416"/>
        <v>92115</v>
      </c>
      <c r="F582" s="143" t="str">
        <f>INDEX(PV_Summary!$B$18:$B$118,MATCH($E582,PV_Summary!$A$18:$A$118,0))</f>
        <v>S</v>
      </c>
      <c r="G582" s="123">
        <v>32.738487999999997</v>
      </c>
      <c r="H582" s="61">
        <v>-117.05690800000001</v>
      </c>
      <c r="I582" s="44" t="s">
        <v>3</v>
      </c>
      <c r="J582" s="46">
        <f t="shared" si="417"/>
        <v>0.75</v>
      </c>
      <c r="K582" s="100"/>
      <c r="L582" s="44" t="str">
        <f t="shared" si="418"/>
        <v/>
      </c>
      <c r="M582" s="46">
        <f t="shared" si="419"/>
        <v>0.75</v>
      </c>
      <c r="N582" s="46"/>
      <c r="O582" s="41">
        <f t="shared" si="409"/>
        <v>0</v>
      </c>
      <c r="P582" s="42">
        <v>177000</v>
      </c>
      <c r="Q582" s="44" t="s">
        <v>3</v>
      </c>
      <c r="R582" s="28" t="s">
        <v>55</v>
      </c>
      <c r="S582" s="48">
        <f t="shared" si="377"/>
        <v>1239000</v>
      </c>
      <c r="T582" s="48">
        <f t="shared" si="392"/>
        <v>0</v>
      </c>
      <c r="U582" s="107"/>
      <c r="V582" s="165"/>
      <c r="W582" s="28">
        <v>164</v>
      </c>
      <c r="X582" s="105">
        <v>1.23</v>
      </c>
      <c r="Y582" s="105">
        <v>8.19</v>
      </c>
      <c r="Z582" s="73" t="s">
        <v>959</v>
      </c>
      <c r="AA582" s="28">
        <v>100</v>
      </c>
    </row>
    <row r="583" spans="1:27" x14ac:dyDescent="0.25">
      <c r="A583" s="4"/>
      <c r="B583" s="98" t="s">
        <v>942</v>
      </c>
      <c r="C583" s="75" t="s">
        <v>937</v>
      </c>
      <c r="D583" s="102" t="s">
        <v>938</v>
      </c>
      <c r="E583" s="28">
        <f t="shared" si="416"/>
        <v>92115</v>
      </c>
      <c r="F583" s="143" t="str">
        <f>INDEX(PV_Summary!$B$18:$B$118,MATCH($E583,PV_Summary!$A$18:$A$118,0))</f>
        <v>S</v>
      </c>
      <c r="G583" s="123">
        <v>32.739567999999998</v>
      </c>
      <c r="H583" s="61">
        <v>-117.054501</v>
      </c>
      <c r="I583" s="44" t="s">
        <v>3</v>
      </c>
      <c r="J583" s="46">
        <f t="shared" si="417"/>
        <v>0.75</v>
      </c>
      <c r="K583" s="100"/>
      <c r="L583" s="44" t="str">
        <f t="shared" si="418"/>
        <v/>
      </c>
      <c r="M583" s="46">
        <f t="shared" si="419"/>
        <v>0.75</v>
      </c>
      <c r="N583" s="46"/>
      <c r="O583" s="41">
        <f t="shared" si="409"/>
        <v>0</v>
      </c>
      <c r="P583" s="42">
        <v>117000</v>
      </c>
      <c r="Q583" s="44" t="s">
        <v>3</v>
      </c>
      <c r="R583" s="28" t="s">
        <v>55</v>
      </c>
      <c r="S583" s="48">
        <f t="shared" si="377"/>
        <v>819000</v>
      </c>
      <c r="T583" s="48">
        <f t="shared" si="392"/>
        <v>0</v>
      </c>
      <c r="U583" s="107"/>
      <c r="V583" s="165"/>
      <c r="W583" s="28">
        <v>164</v>
      </c>
      <c r="X583" s="105">
        <v>1.23</v>
      </c>
      <c r="Y583" s="105">
        <v>8.19</v>
      </c>
      <c r="Z583" s="73" t="s">
        <v>959</v>
      </c>
      <c r="AA583" s="28">
        <v>0</v>
      </c>
    </row>
    <row r="584" spans="1:27" x14ac:dyDescent="0.25">
      <c r="A584" s="4"/>
      <c r="B584" s="98" t="s">
        <v>943</v>
      </c>
      <c r="C584" s="75" t="s">
        <v>937</v>
      </c>
      <c r="D584" s="102" t="s">
        <v>938</v>
      </c>
      <c r="E584" s="28">
        <f t="shared" si="416"/>
        <v>92115</v>
      </c>
      <c r="F584" s="143" t="str">
        <f>INDEX(PV_Summary!$B$18:$B$118,MATCH($E584,PV_Summary!$A$18:$A$118,0))</f>
        <v>S</v>
      </c>
      <c r="G584" s="123">
        <v>32.742269</v>
      </c>
      <c r="H584" s="61">
        <v>-117.054256</v>
      </c>
      <c r="I584" s="44" t="s">
        <v>37</v>
      </c>
      <c r="J584" s="46">
        <f t="shared" si="417"/>
        <v>0.75</v>
      </c>
      <c r="K584" s="100"/>
      <c r="L584" s="44" t="str">
        <f t="shared" si="418"/>
        <v/>
      </c>
      <c r="M584" s="46">
        <f t="shared" si="419"/>
        <v>0.75</v>
      </c>
      <c r="N584" s="46"/>
      <c r="O584" s="41">
        <f t="shared" si="409"/>
        <v>0</v>
      </c>
      <c r="P584" s="42">
        <v>72000</v>
      </c>
      <c r="Q584" s="44" t="s">
        <v>3</v>
      </c>
      <c r="R584" s="28" t="s">
        <v>55</v>
      </c>
      <c r="S584" s="48">
        <f t="shared" si="377"/>
        <v>504000</v>
      </c>
      <c r="T584" s="48">
        <f t="shared" si="392"/>
        <v>0</v>
      </c>
      <c r="U584" s="107"/>
      <c r="V584" s="165"/>
      <c r="W584" s="28">
        <v>164</v>
      </c>
      <c r="X584" s="105">
        <v>1.23</v>
      </c>
      <c r="Y584" s="105">
        <v>8.19</v>
      </c>
      <c r="Z584" s="73" t="s">
        <v>959</v>
      </c>
      <c r="AA584" s="28">
        <v>0</v>
      </c>
    </row>
    <row r="585" spans="1:27" x14ac:dyDescent="0.25">
      <c r="A585" s="4"/>
      <c r="B585" s="98" t="s">
        <v>505</v>
      </c>
      <c r="C585" s="75" t="s">
        <v>937</v>
      </c>
      <c r="D585" s="102" t="s">
        <v>938</v>
      </c>
      <c r="E585" s="28">
        <f t="shared" si="416"/>
        <v>92115</v>
      </c>
      <c r="F585" s="143" t="str">
        <f>INDEX(PV_Summary!$B$18:$B$118,MATCH($E585,PV_Summary!$A$18:$A$118,0))</f>
        <v>S</v>
      </c>
      <c r="G585" s="123">
        <v>32.741573000000002</v>
      </c>
      <c r="H585" s="61">
        <v>-117.053614</v>
      </c>
      <c r="I585" s="44" t="s">
        <v>210</v>
      </c>
      <c r="J585" s="46">
        <f t="shared" si="417"/>
        <v>0.75</v>
      </c>
      <c r="K585" s="100" t="s">
        <v>157</v>
      </c>
      <c r="L585" s="44" t="str">
        <f t="shared" si="418"/>
        <v/>
      </c>
      <c r="M585" s="46">
        <f t="shared" si="419"/>
        <v>0.75</v>
      </c>
      <c r="N585" s="46"/>
      <c r="O585" s="41">
        <f t="shared" si="409"/>
        <v>0</v>
      </c>
      <c r="Q585" s="44" t="s">
        <v>172</v>
      </c>
      <c r="S585" s="48">
        <f t="shared" si="377"/>
        <v>0</v>
      </c>
      <c r="T585" s="48">
        <f t="shared" ref="T585:T599" si="420">SUMIF($C:$C,$C585,$S:$S)*IF($O585&gt;=1,1,0)</f>
        <v>0</v>
      </c>
      <c r="U585" s="107"/>
      <c r="V585" s="165"/>
      <c r="W585" s="28">
        <v>164</v>
      </c>
      <c r="X585" s="105">
        <v>1.23</v>
      </c>
      <c r="Y585" s="105">
        <v>8.19</v>
      </c>
      <c r="Z585" s="73" t="s">
        <v>959</v>
      </c>
      <c r="AA585" s="28">
        <v>0</v>
      </c>
    </row>
    <row r="586" spans="1:27" x14ac:dyDescent="0.25">
      <c r="A586" s="4"/>
      <c r="B586" s="98" t="s">
        <v>210</v>
      </c>
      <c r="C586" s="75" t="s">
        <v>937</v>
      </c>
      <c r="D586" s="102" t="s">
        <v>938</v>
      </c>
      <c r="E586" s="28">
        <f t="shared" si="416"/>
        <v>92115</v>
      </c>
      <c r="F586" s="143" t="str">
        <f>INDEX(PV_Summary!$B$18:$B$118,MATCH($E586,PV_Summary!$A$18:$A$118,0))</f>
        <v>S</v>
      </c>
      <c r="G586" s="123">
        <v>32.740648</v>
      </c>
      <c r="H586" s="61">
        <v>-117.055407</v>
      </c>
      <c r="I586" s="44" t="s">
        <v>37</v>
      </c>
      <c r="J586" s="46">
        <f t="shared" si="417"/>
        <v>0.75</v>
      </c>
      <c r="K586" s="100"/>
      <c r="L586" s="44" t="str">
        <f t="shared" si="418"/>
        <v/>
      </c>
      <c r="M586" s="46">
        <f t="shared" si="419"/>
        <v>0.75</v>
      </c>
      <c r="N586" s="46"/>
      <c r="O586" s="41">
        <f t="shared" si="409"/>
        <v>0</v>
      </c>
      <c r="P586" s="42">
        <v>104000</v>
      </c>
      <c r="Q586" s="44" t="s">
        <v>37</v>
      </c>
      <c r="R586" s="28" t="s">
        <v>57</v>
      </c>
      <c r="S586" s="48">
        <f t="shared" si="377"/>
        <v>520000</v>
      </c>
      <c r="T586" s="48">
        <f t="shared" si="420"/>
        <v>0</v>
      </c>
      <c r="U586" s="107"/>
      <c r="V586" s="165"/>
      <c r="W586" s="28">
        <v>164</v>
      </c>
      <c r="X586" s="105">
        <v>1.23</v>
      </c>
      <c r="Y586" s="105">
        <v>8.19</v>
      </c>
      <c r="Z586" s="73" t="s">
        <v>959</v>
      </c>
      <c r="AA586" s="28">
        <v>0</v>
      </c>
    </row>
    <row r="587" spans="1:27" x14ac:dyDescent="0.25">
      <c r="A587" s="4"/>
      <c r="B587" s="98" t="s">
        <v>944</v>
      </c>
      <c r="C587" s="75" t="s">
        <v>937</v>
      </c>
      <c r="D587" s="102" t="s">
        <v>938</v>
      </c>
      <c r="E587" s="28">
        <f t="shared" si="416"/>
        <v>92115</v>
      </c>
      <c r="F587" s="143" t="str">
        <f>INDEX(PV_Summary!$B$18:$B$118,MATCH($E587,PV_Summary!$A$18:$A$118,0))</f>
        <v>S</v>
      </c>
      <c r="G587" s="123">
        <v>32.740155000000001</v>
      </c>
      <c r="H587" s="61">
        <v>-117.05476899999999</v>
      </c>
      <c r="I587" s="44" t="s">
        <v>37</v>
      </c>
      <c r="J587" s="46">
        <f t="shared" si="417"/>
        <v>0.75</v>
      </c>
      <c r="K587" s="100"/>
      <c r="L587" s="44" t="str">
        <f t="shared" si="418"/>
        <v/>
      </c>
      <c r="M587" s="46">
        <f t="shared" si="419"/>
        <v>0.75</v>
      </c>
      <c r="N587" s="46"/>
      <c r="O587" s="41">
        <f t="shared" si="409"/>
        <v>0</v>
      </c>
      <c r="P587" s="42">
        <v>57000</v>
      </c>
      <c r="Q587" s="44" t="s">
        <v>37</v>
      </c>
      <c r="R587" s="28" t="s">
        <v>56</v>
      </c>
      <c r="S587" s="48">
        <f t="shared" si="377"/>
        <v>342000</v>
      </c>
      <c r="T587" s="48">
        <f t="shared" si="420"/>
        <v>0</v>
      </c>
      <c r="U587" s="107"/>
      <c r="V587" s="165"/>
      <c r="W587" s="28">
        <v>164</v>
      </c>
      <c r="X587" s="105">
        <v>1.23</v>
      </c>
      <c r="Y587" s="105">
        <v>8.19</v>
      </c>
      <c r="Z587" s="73" t="s">
        <v>959</v>
      </c>
      <c r="AA587" s="28">
        <v>0</v>
      </c>
    </row>
    <row r="588" spans="1:27" x14ac:dyDescent="0.25">
      <c r="A588" s="4"/>
      <c r="B588" s="98" t="s">
        <v>945</v>
      </c>
      <c r="C588" s="75" t="s">
        <v>937</v>
      </c>
      <c r="D588" s="102" t="s">
        <v>938</v>
      </c>
      <c r="E588" s="28">
        <f t="shared" si="416"/>
        <v>92115</v>
      </c>
      <c r="F588" s="143" t="str">
        <f>INDEX(PV_Summary!$B$18:$B$118,MATCH($E588,PV_Summary!$A$18:$A$118,0))</f>
        <v>S</v>
      </c>
      <c r="G588" s="123">
        <v>32.739457999999999</v>
      </c>
      <c r="H588" s="61">
        <v>-117.055877</v>
      </c>
      <c r="I588" s="44" t="s">
        <v>37</v>
      </c>
      <c r="J588" s="46">
        <f t="shared" ref="J588:J602" si="421">IF(O588&gt;1,Sym_Scl_Aggr_Parent,IF(O588&lt;1,Sym_Scl_Aggr_Child,Sym_Scl_Normal))</f>
        <v>0.75</v>
      </c>
      <c r="K588" s="100"/>
      <c r="L588" s="44" t="str">
        <f t="shared" ref="L588:L602" si="422">IF(O588&gt;1,"Total","")</f>
        <v/>
      </c>
      <c r="M588" s="46">
        <f t="shared" ref="M588:M602" si="423">IF(O588&gt;1,Label_Scl_Aggr_Parent,IF(O588&lt;1,Label_Scl_Aggr_Child,Label_Scl_Normal))</f>
        <v>0.75</v>
      </c>
      <c r="N588" s="46"/>
      <c r="O588" s="41">
        <f t="shared" si="409"/>
        <v>0</v>
      </c>
      <c r="P588" s="42">
        <v>114000</v>
      </c>
      <c r="Q588" s="44" t="s">
        <v>37</v>
      </c>
      <c r="R588" s="28" t="s">
        <v>57</v>
      </c>
      <c r="S588" s="48">
        <f t="shared" si="377"/>
        <v>570000</v>
      </c>
      <c r="T588" s="48">
        <f t="shared" si="420"/>
        <v>0</v>
      </c>
      <c r="U588" s="107"/>
      <c r="V588" s="165"/>
      <c r="W588" s="28">
        <v>164</v>
      </c>
      <c r="X588" s="105">
        <v>1.23</v>
      </c>
      <c r="Y588" s="105">
        <v>8.19</v>
      </c>
      <c r="Z588" s="73" t="s">
        <v>959</v>
      </c>
      <c r="AA588" s="28">
        <v>0</v>
      </c>
    </row>
    <row r="589" spans="1:27" x14ac:dyDescent="0.25">
      <c r="A589" s="4"/>
      <c r="B589" s="62" t="s">
        <v>946</v>
      </c>
      <c r="C589" s="75" t="s">
        <v>951</v>
      </c>
      <c r="D589" s="102" t="s">
        <v>882</v>
      </c>
      <c r="E589" s="28">
        <f t="shared" si="416"/>
        <v>92120</v>
      </c>
      <c r="F589" s="143" t="str">
        <f>INDEX(PV_Summary!$B$18:$B$118,MATCH($E589,PV_Summary!$A$18:$A$118,0))</f>
        <v>S</v>
      </c>
      <c r="G589" s="123">
        <v>32.803851999999999</v>
      </c>
      <c r="H589" s="61">
        <v>-117.082387</v>
      </c>
      <c r="I589" s="44" t="s">
        <v>62</v>
      </c>
      <c r="J589" s="46">
        <f t="shared" ca="1" si="421"/>
        <v>1.5</v>
      </c>
      <c r="K589" s="100"/>
      <c r="L589" s="44" t="str">
        <f t="shared" ca="1" si="422"/>
        <v>Total</v>
      </c>
      <c r="M589" s="46">
        <f t="shared" ca="1" si="423"/>
        <v>1.25</v>
      </c>
      <c r="N589" s="46"/>
      <c r="O589" s="41">
        <f ca="1">IF($C589=$C588,0,COUNTIFS(Address,$C589))</f>
        <v>6</v>
      </c>
      <c r="Q589" s="44"/>
      <c r="S589" s="48">
        <f t="shared" si="377"/>
        <v>0</v>
      </c>
      <c r="T589" s="48">
        <f t="shared" ca="1" si="420"/>
        <v>3613000</v>
      </c>
      <c r="U589" s="107"/>
      <c r="V589" s="165"/>
      <c r="W589" s="28">
        <v>385</v>
      </c>
      <c r="X589" s="105">
        <v>1.32</v>
      </c>
      <c r="Y589" s="105">
        <v>8.77</v>
      </c>
      <c r="Z589" s="73" t="s">
        <v>960</v>
      </c>
      <c r="AA589" s="28"/>
    </row>
    <row r="590" spans="1:27" x14ac:dyDescent="0.25">
      <c r="A590" s="4"/>
      <c r="B590" s="98" t="s">
        <v>947</v>
      </c>
      <c r="C590" s="75" t="s">
        <v>951</v>
      </c>
      <c r="D590" s="102" t="s">
        <v>882</v>
      </c>
      <c r="E590" s="28">
        <f t="shared" si="416"/>
        <v>92120</v>
      </c>
      <c r="F590" s="143" t="str">
        <f>INDEX(PV_Summary!$B$18:$B$118,MATCH($E590,PV_Summary!$A$18:$A$118,0))</f>
        <v>S</v>
      </c>
      <c r="G590" s="123">
        <v>32.803389000000003</v>
      </c>
      <c r="H590" s="61">
        <v>-117.08211799999999</v>
      </c>
      <c r="I590" s="44" t="s">
        <v>37</v>
      </c>
      <c r="J590" s="46">
        <f t="shared" si="421"/>
        <v>0.75</v>
      </c>
      <c r="K590" s="100"/>
      <c r="L590" s="44" t="str">
        <f t="shared" si="422"/>
        <v/>
      </c>
      <c r="M590" s="46">
        <f t="shared" si="423"/>
        <v>0.75</v>
      </c>
      <c r="N590" s="46"/>
      <c r="O590" s="41">
        <f t="shared" si="409"/>
        <v>0</v>
      </c>
      <c r="P590" s="42">
        <v>283000</v>
      </c>
      <c r="Q590" s="44" t="s">
        <v>37</v>
      </c>
      <c r="R590" s="28" t="s">
        <v>56</v>
      </c>
      <c r="S590" s="48">
        <f t="shared" si="377"/>
        <v>1698000</v>
      </c>
      <c r="T590" s="48">
        <f t="shared" si="420"/>
        <v>0</v>
      </c>
      <c r="U590" s="107"/>
      <c r="V590" s="165"/>
      <c r="W590" s="28">
        <v>385</v>
      </c>
      <c r="X590" s="105">
        <v>1.32</v>
      </c>
      <c r="Y590" s="105">
        <v>8.77</v>
      </c>
      <c r="Z590" s="73" t="s">
        <v>960</v>
      </c>
      <c r="AA590" s="28">
        <v>200</v>
      </c>
    </row>
    <row r="591" spans="1:27" x14ac:dyDescent="0.25">
      <c r="A591" s="4"/>
      <c r="B591" s="98" t="s">
        <v>948</v>
      </c>
      <c r="C591" s="75" t="s">
        <v>951</v>
      </c>
      <c r="D591" s="102" t="s">
        <v>882</v>
      </c>
      <c r="E591" s="28">
        <f t="shared" si="416"/>
        <v>92120</v>
      </c>
      <c r="F591" s="143" t="str">
        <f>INDEX(PV_Summary!$B$18:$B$118,MATCH($E591,PV_Summary!$A$18:$A$118,0))</f>
        <v>S</v>
      </c>
      <c r="G591" s="123">
        <v>32.805137000000002</v>
      </c>
      <c r="H591" s="61">
        <v>-117.08094199999999</v>
      </c>
      <c r="I591" s="44" t="s">
        <v>37</v>
      </c>
      <c r="J591" s="46">
        <f t="shared" si="421"/>
        <v>0.75</v>
      </c>
      <c r="K591" s="100"/>
      <c r="L591" s="44" t="str">
        <f t="shared" si="422"/>
        <v/>
      </c>
      <c r="M591" s="46">
        <f t="shared" si="423"/>
        <v>0.75</v>
      </c>
      <c r="N591" s="46"/>
      <c r="O591" s="41">
        <f t="shared" si="409"/>
        <v>0</v>
      </c>
      <c r="P591" s="42">
        <v>107000</v>
      </c>
      <c r="Q591" s="44" t="s">
        <v>37</v>
      </c>
      <c r="R591" s="28" t="s">
        <v>57</v>
      </c>
      <c r="S591" s="48">
        <f t="shared" si="377"/>
        <v>535000</v>
      </c>
      <c r="T591" s="48">
        <f t="shared" si="420"/>
        <v>0</v>
      </c>
      <c r="U591" s="107"/>
      <c r="V591" s="165"/>
      <c r="W591" s="28">
        <v>385</v>
      </c>
      <c r="X591" s="105">
        <v>1.32</v>
      </c>
      <c r="Y591" s="105">
        <v>8.77</v>
      </c>
      <c r="Z591" s="73" t="s">
        <v>960</v>
      </c>
      <c r="AA591" s="28">
        <v>0</v>
      </c>
    </row>
    <row r="592" spans="1:27" x14ac:dyDescent="0.25">
      <c r="A592" s="4"/>
      <c r="B592" s="98" t="s">
        <v>949</v>
      </c>
      <c r="C592" s="75" t="s">
        <v>951</v>
      </c>
      <c r="D592" s="102" t="s">
        <v>882</v>
      </c>
      <c r="E592" s="28">
        <f t="shared" si="416"/>
        <v>92120</v>
      </c>
      <c r="F592" s="143" t="str">
        <f>INDEX(PV_Summary!$B$18:$B$118,MATCH($E592,PV_Summary!$A$18:$A$118,0))</f>
        <v>S</v>
      </c>
      <c r="G592" s="123">
        <v>32.803998999999997</v>
      </c>
      <c r="H592" s="61">
        <v>-117.08341900000001</v>
      </c>
      <c r="I592" s="44" t="s">
        <v>37</v>
      </c>
      <c r="J592" s="46">
        <f t="shared" si="421"/>
        <v>0.75</v>
      </c>
      <c r="K592" s="100"/>
      <c r="L592" s="44" t="str">
        <f t="shared" si="422"/>
        <v/>
      </c>
      <c r="M592" s="46">
        <f t="shared" si="423"/>
        <v>0.75</v>
      </c>
      <c r="N592" s="46"/>
      <c r="O592" s="41">
        <f t="shared" si="409"/>
        <v>0</v>
      </c>
      <c r="P592" s="42">
        <v>126000</v>
      </c>
      <c r="Q592" s="44" t="s">
        <v>37</v>
      </c>
      <c r="R592" s="28" t="s">
        <v>56</v>
      </c>
      <c r="S592" s="48">
        <f t="shared" si="377"/>
        <v>756000</v>
      </c>
      <c r="T592" s="48">
        <f t="shared" si="420"/>
        <v>0</v>
      </c>
      <c r="U592" s="107"/>
      <c r="V592" s="165"/>
      <c r="W592" s="28">
        <v>385</v>
      </c>
      <c r="X592" s="105">
        <v>1.32</v>
      </c>
      <c r="Y592" s="105">
        <v>8.77</v>
      </c>
      <c r="Z592" s="73" t="s">
        <v>960</v>
      </c>
      <c r="AA592" s="28">
        <v>0</v>
      </c>
    </row>
    <row r="593" spans="1:27" x14ac:dyDescent="0.25">
      <c r="A593" s="4"/>
      <c r="B593" s="98" t="s">
        <v>950</v>
      </c>
      <c r="C593" s="75" t="s">
        <v>951</v>
      </c>
      <c r="D593" s="102" t="s">
        <v>882</v>
      </c>
      <c r="E593" s="28">
        <f t="shared" ref="E593:E594" si="424">RIGHT(TRIM(D593),5)*1</f>
        <v>92120</v>
      </c>
      <c r="F593" s="143" t="str">
        <f>INDEX(PV_Summary!$B$18:$B$118,MATCH($E593,PV_Summary!$A$18:$A$118,0))</f>
        <v>S</v>
      </c>
      <c r="G593" s="123">
        <v>32.802990999999999</v>
      </c>
      <c r="H593" s="61">
        <v>-117.08558499999999</v>
      </c>
      <c r="I593" s="44" t="s">
        <v>37</v>
      </c>
      <c r="J593" s="46">
        <f t="shared" si="421"/>
        <v>0.75</v>
      </c>
      <c r="K593" s="100"/>
      <c r="L593" s="44" t="str">
        <f t="shared" si="422"/>
        <v/>
      </c>
      <c r="M593" s="46">
        <f t="shared" si="423"/>
        <v>0.75</v>
      </c>
      <c r="N593" s="46"/>
      <c r="O593" s="41">
        <f t="shared" si="409"/>
        <v>0</v>
      </c>
      <c r="P593" s="42">
        <v>54000</v>
      </c>
      <c r="Q593" s="44" t="s">
        <v>37</v>
      </c>
      <c r="R593" s="28" t="s">
        <v>56</v>
      </c>
      <c r="S593" s="48">
        <f t="shared" si="377"/>
        <v>324000</v>
      </c>
      <c r="T593" s="48">
        <f t="shared" si="420"/>
        <v>0</v>
      </c>
      <c r="U593" s="107"/>
      <c r="V593" s="165"/>
      <c r="W593" s="28">
        <v>385</v>
      </c>
      <c r="X593" s="105">
        <v>1.32</v>
      </c>
      <c r="Y593" s="105">
        <v>8.77</v>
      </c>
      <c r="Z593" s="73" t="s">
        <v>960</v>
      </c>
      <c r="AA593" s="28">
        <v>0</v>
      </c>
    </row>
    <row r="594" spans="1:27" x14ac:dyDescent="0.25">
      <c r="A594" s="4"/>
      <c r="B594" s="98" t="s">
        <v>952</v>
      </c>
      <c r="C594" s="75" t="s">
        <v>951</v>
      </c>
      <c r="D594" s="102" t="s">
        <v>882</v>
      </c>
      <c r="E594" s="28">
        <f t="shared" si="424"/>
        <v>92120</v>
      </c>
      <c r="F594" s="143" t="str">
        <f>INDEX(PV_Summary!$B$18:$B$118,MATCH($E594,PV_Summary!$A$18:$A$118,0))</f>
        <v>S</v>
      </c>
      <c r="G594" s="123">
        <v>32.802596999999999</v>
      </c>
      <c r="H594" s="61">
        <v>-117.084399</v>
      </c>
      <c r="I594" s="44" t="s">
        <v>37</v>
      </c>
      <c r="J594" s="46">
        <f t="shared" si="421"/>
        <v>0.75</v>
      </c>
      <c r="K594" s="100"/>
      <c r="L594" s="44" t="str">
        <f t="shared" si="422"/>
        <v/>
      </c>
      <c r="M594" s="46">
        <f t="shared" si="423"/>
        <v>0.75</v>
      </c>
      <c r="N594" s="46"/>
      <c r="O594" s="41">
        <f t="shared" si="409"/>
        <v>0</v>
      </c>
      <c r="P594" s="42">
        <v>50000</v>
      </c>
      <c r="Q594" s="44" t="s">
        <v>37</v>
      </c>
      <c r="R594" s="28" t="s">
        <v>56</v>
      </c>
      <c r="S594" s="48">
        <f t="shared" si="377"/>
        <v>300000</v>
      </c>
      <c r="T594" s="48">
        <f t="shared" si="420"/>
        <v>0</v>
      </c>
      <c r="U594" s="107"/>
      <c r="V594" s="165"/>
      <c r="W594" s="28">
        <v>385</v>
      </c>
      <c r="X594" s="105">
        <v>1.32</v>
      </c>
      <c r="Y594" s="105">
        <v>8.77</v>
      </c>
      <c r="Z594" s="73" t="s">
        <v>960</v>
      </c>
      <c r="AA594" s="28">
        <v>200</v>
      </c>
    </row>
    <row r="595" spans="1:27" x14ac:dyDescent="0.25">
      <c r="A595" s="4"/>
      <c r="B595" s="62" t="s">
        <v>1508</v>
      </c>
      <c r="C595" s="75" t="s">
        <v>1509</v>
      </c>
      <c r="D595" s="102" t="s">
        <v>624</v>
      </c>
      <c r="E595" s="28">
        <f t="shared" ref="E595" si="425">RIGHT(TRIM(D595),5)*1</f>
        <v>92109</v>
      </c>
      <c r="F595" s="143" t="str">
        <f>INDEX(PV_Summary!$B$18:$B$118,MATCH($E595,PV_Summary!$A$18:$A$118,0))</f>
        <v>S</v>
      </c>
      <c r="G595" s="123">
        <v>32.769033999999998</v>
      </c>
      <c r="H595" s="61">
        <v>-117.252014</v>
      </c>
      <c r="I595" s="44" t="s">
        <v>3</v>
      </c>
      <c r="J595" s="46">
        <f t="shared" ref="J595:J599" ca="1" si="426">IF(O595&gt;1,Sym_Scl_Aggr_Parent,IF(O595&lt;1,Sym_Scl_Aggr_Child,Sym_Scl_Normal))</f>
        <v>1</v>
      </c>
      <c r="K595" s="100"/>
      <c r="L595" s="44" t="str">
        <f t="shared" ref="L595:L599" ca="1" si="427">IF(O595&gt;1,"Total","")</f>
        <v/>
      </c>
      <c r="M595" s="46">
        <f t="shared" ref="M595:M599" ca="1" si="428">IF(O595&gt;1,Label_Scl_Aggr_Parent,IF(O595&lt;1,Label_Scl_Aggr_Child,Label_Scl_Normal))</f>
        <v>1</v>
      </c>
      <c r="N595" s="46"/>
      <c r="O595" s="41">
        <f t="shared" ca="1" si="409"/>
        <v>1</v>
      </c>
      <c r="P595" s="42">
        <v>179000</v>
      </c>
      <c r="Q595" s="44" t="s">
        <v>3</v>
      </c>
      <c r="R595" s="28" t="s">
        <v>55</v>
      </c>
      <c r="S595" s="48">
        <f t="shared" si="377"/>
        <v>1253000</v>
      </c>
      <c r="T595" s="48">
        <f t="shared" ca="1" si="420"/>
        <v>1253000</v>
      </c>
      <c r="U595" s="107"/>
      <c r="V595" s="165"/>
      <c r="W595" s="28">
        <v>545</v>
      </c>
      <c r="X595" s="105">
        <v>1.43</v>
      </c>
      <c r="Y595" s="105">
        <v>9.56</v>
      </c>
      <c r="Z595" s="73" t="s">
        <v>468</v>
      </c>
      <c r="AA595" s="28">
        <v>0</v>
      </c>
    </row>
    <row r="596" spans="1:27" x14ac:dyDescent="0.25">
      <c r="A596" s="4"/>
      <c r="B596" s="62" t="s">
        <v>1510</v>
      </c>
      <c r="C596" s="75" t="s">
        <v>1512</v>
      </c>
      <c r="D596" s="102" t="s">
        <v>624</v>
      </c>
      <c r="E596" s="28">
        <f t="shared" ref="E596:E600" si="429">RIGHT(TRIM(D596),5)*1</f>
        <v>92109</v>
      </c>
      <c r="F596" s="143" t="str">
        <f>INDEX(PV_Summary!$B$18:$B$118,MATCH($E596,PV_Summary!$A$18:$A$118,0))</f>
        <v>S</v>
      </c>
      <c r="G596" s="123">
        <v>32.770023999999999</v>
      </c>
      <c r="H596" s="61">
        <v>-117.249388</v>
      </c>
      <c r="I596" s="44" t="s">
        <v>302</v>
      </c>
      <c r="J596" s="46">
        <f t="shared" ca="1" si="426"/>
        <v>1.5</v>
      </c>
      <c r="K596" s="158" t="s">
        <v>170</v>
      </c>
      <c r="L596" s="44" t="str">
        <f t="shared" ca="1" si="427"/>
        <v>Total</v>
      </c>
      <c r="M596" s="46">
        <f t="shared" ca="1" si="428"/>
        <v>1.25</v>
      </c>
      <c r="N596" s="46"/>
      <c r="O596" s="41">
        <f t="shared" ca="1" si="409"/>
        <v>4</v>
      </c>
      <c r="Q596" s="44"/>
      <c r="S596" s="48">
        <f t="shared" si="377"/>
        <v>0</v>
      </c>
      <c r="T596" s="48">
        <f t="shared" ca="1" si="420"/>
        <v>2653000</v>
      </c>
      <c r="U596" s="107"/>
      <c r="V596" s="165"/>
      <c r="W596" s="28">
        <v>545</v>
      </c>
      <c r="X596" s="105">
        <v>1.43</v>
      </c>
      <c r="Y596" s="105">
        <v>9.56</v>
      </c>
      <c r="Z596" s="73" t="s">
        <v>468</v>
      </c>
      <c r="AA596" s="28"/>
    </row>
    <row r="597" spans="1:27" x14ac:dyDescent="0.25">
      <c r="A597" s="4"/>
      <c r="B597" s="98" t="s">
        <v>1511</v>
      </c>
      <c r="C597" s="75" t="s">
        <v>1512</v>
      </c>
      <c r="D597" s="102" t="s">
        <v>624</v>
      </c>
      <c r="E597" s="28">
        <f t="shared" si="429"/>
        <v>92109</v>
      </c>
      <c r="F597" s="143" t="str">
        <f>INDEX(PV_Summary!$B$18:$B$118,MATCH($E597,PV_Summary!$A$18:$A$118,0))</f>
        <v>S</v>
      </c>
      <c r="G597" s="123">
        <v>32.768658000000002</v>
      </c>
      <c r="H597" s="61">
        <v>-117.25039200000001</v>
      </c>
      <c r="I597" s="44" t="s">
        <v>3</v>
      </c>
      <c r="J597" s="46">
        <f t="shared" si="426"/>
        <v>0.75</v>
      </c>
      <c r="K597" s="100"/>
      <c r="L597" s="44" t="str">
        <f t="shared" si="427"/>
        <v/>
      </c>
      <c r="M597" s="46">
        <f t="shared" si="428"/>
        <v>0.75</v>
      </c>
      <c r="N597" s="46"/>
      <c r="O597" s="41">
        <f t="shared" si="409"/>
        <v>0</v>
      </c>
      <c r="P597" s="42">
        <v>158000</v>
      </c>
      <c r="Q597" s="44" t="s">
        <v>3</v>
      </c>
      <c r="R597" s="28" t="s">
        <v>55</v>
      </c>
      <c r="S597" s="48">
        <f t="shared" si="377"/>
        <v>1106000</v>
      </c>
      <c r="T597" s="48">
        <f t="shared" si="420"/>
        <v>0</v>
      </c>
      <c r="U597" s="107"/>
      <c r="V597" s="165"/>
      <c r="W597" s="28">
        <v>545</v>
      </c>
      <c r="X597" s="105">
        <v>1.43</v>
      </c>
      <c r="Y597" s="105">
        <v>9.56</v>
      </c>
      <c r="Z597" s="73" t="s">
        <v>468</v>
      </c>
      <c r="AA597" s="28">
        <v>0</v>
      </c>
    </row>
    <row r="598" spans="1:27" x14ac:dyDescent="0.25">
      <c r="A598" s="4"/>
      <c r="B598" s="98" t="s">
        <v>1513</v>
      </c>
      <c r="C598" s="75" t="s">
        <v>1512</v>
      </c>
      <c r="D598" s="102" t="s">
        <v>624</v>
      </c>
      <c r="E598" s="28">
        <f t="shared" si="429"/>
        <v>92109</v>
      </c>
      <c r="F598" s="143" t="str">
        <f>INDEX(PV_Summary!$B$18:$B$118,MATCH($E598,PV_Summary!$A$18:$A$118,0))</f>
        <v>S</v>
      </c>
      <c r="G598" s="123">
        <v>32.771169999999998</v>
      </c>
      <c r="H598" s="61">
        <v>-117.24888</v>
      </c>
      <c r="I598" s="44" t="s">
        <v>3</v>
      </c>
      <c r="J598" s="46">
        <f t="shared" si="426"/>
        <v>0.75</v>
      </c>
      <c r="K598" s="100"/>
      <c r="L598" s="44" t="str">
        <f t="shared" si="427"/>
        <v/>
      </c>
      <c r="M598" s="46">
        <f t="shared" si="428"/>
        <v>0.75</v>
      </c>
      <c r="N598" s="46"/>
      <c r="O598" s="41">
        <f t="shared" si="409"/>
        <v>0</v>
      </c>
      <c r="P598" s="42">
        <v>154000</v>
      </c>
      <c r="Q598" s="44" t="s">
        <v>3</v>
      </c>
      <c r="R598" s="28" t="s">
        <v>55</v>
      </c>
      <c r="S598" s="48">
        <f t="shared" si="377"/>
        <v>1078000</v>
      </c>
      <c r="T598" s="48">
        <f t="shared" si="420"/>
        <v>0</v>
      </c>
      <c r="U598" s="107"/>
      <c r="V598" s="165"/>
      <c r="W598" s="28">
        <v>545</v>
      </c>
      <c r="X598" s="105">
        <v>1.43</v>
      </c>
      <c r="Y598" s="105">
        <v>9.56</v>
      </c>
      <c r="Z598" s="73" t="s">
        <v>468</v>
      </c>
      <c r="AA598" s="28">
        <v>100</v>
      </c>
    </row>
    <row r="599" spans="1:27" x14ac:dyDescent="0.25">
      <c r="A599" s="4"/>
      <c r="B599" s="98" t="s">
        <v>1514</v>
      </c>
      <c r="C599" s="75" t="s">
        <v>1512</v>
      </c>
      <c r="D599" s="102" t="s">
        <v>624</v>
      </c>
      <c r="E599" s="28">
        <f t="shared" si="429"/>
        <v>92109</v>
      </c>
      <c r="F599" s="143" t="str">
        <f>INDEX(PV_Summary!$B$18:$B$118,MATCH($E599,PV_Summary!$A$18:$A$118,0))</f>
        <v>S</v>
      </c>
      <c r="G599" s="123">
        <v>32.770001999999998</v>
      </c>
      <c r="H599" s="61">
        <v>-117.246628</v>
      </c>
      <c r="I599" s="44" t="s">
        <v>3</v>
      </c>
      <c r="J599" s="46">
        <f t="shared" si="426"/>
        <v>0.75</v>
      </c>
      <c r="K599" s="100"/>
      <c r="L599" s="44" t="str">
        <f t="shared" si="427"/>
        <v/>
      </c>
      <c r="M599" s="46">
        <f t="shared" si="428"/>
        <v>0.75</v>
      </c>
      <c r="N599" s="46"/>
      <c r="O599" s="41">
        <f t="shared" si="409"/>
        <v>0</v>
      </c>
      <c r="P599" s="42">
        <v>67000</v>
      </c>
      <c r="Q599" s="44" t="s">
        <v>3</v>
      </c>
      <c r="R599" s="28" t="s">
        <v>55</v>
      </c>
      <c r="S599" s="48">
        <f t="shared" si="377"/>
        <v>469000</v>
      </c>
      <c r="T599" s="48">
        <f t="shared" si="420"/>
        <v>0</v>
      </c>
      <c r="U599" s="107"/>
      <c r="V599" s="165"/>
      <c r="W599" s="28">
        <v>545</v>
      </c>
      <c r="X599" s="105">
        <v>1.43</v>
      </c>
      <c r="Y599" s="105">
        <v>9.56</v>
      </c>
      <c r="Z599" s="73" t="s">
        <v>468</v>
      </c>
      <c r="AA599" s="28">
        <v>100</v>
      </c>
    </row>
    <row r="600" spans="1:27" x14ac:dyDescent="0.25">
      <c r="A600" s="4"/>
      <c r="B600" s="62" t="s">
        <v>1522</v>
      </c>
      <c r="C600" s="75" t="s">
        <v>1523</v>
      </c>
      <c r="D600" s="102" t="s">
        <v>624</v>
      </c>
      <c r="E600" s="28">
        <f t="shared" si="429"/>
        <v>92109</v>
      </c>
      <c r="F600" s="143" t="str">
        <f>INDEX(PV_Summary!$B$18:$B$118,MATCH($E600,PV_Summary!$A$18:$A$118,0))</f>
        <v>S</v>
      </c>
      <c r="G600" s="123">
        <v>32.774025999999999</v>
      </c>
      <c r="H600" s="61">
        <v>-117.234191</v>
      </c>
      <c r="I600" s="44" t="s">
        <v>3</v>
      </c>
      <c r="J600" s="46">
        <f t="shared" ref="J600:J601" ca="1" si="430">IF(O600&gt;1,Sym_Scl_Aggr_Parent,IF(O600&lt;1,Sym_Scl_Aggr_Child,Sym_Scl_Normal))</f>
        <v>1</v>
      </c>
      <c r="K600" s="100"/>
      <c r="L600" s="44" t="str">
        <f t="shared" ref="L600:L601" ca="1" si="431">IF(O600&gt;1,"Total","")</f>
        <v/>
      </c>
      <c r="M600" s="46">
        <f t="shared" ref="M600:M601" ca="1" si="432">IF(O600&gt;1,Label_Scl_Aggr_Parent,IF(O600&lt;1,Label_Scl_Aggr_Child,Label_Scl_Normal))</f>
        <v>1</v>
      </c>
      <c r="N600" s="46"/>
      <c r="O600" s="41">
        <f t="shared" ca="1" si="409"/>
        <v>1</v>
      </c>
      <c r="P600" s="42">
        <v>145000</v>
      </c>
      <c r="Q600" s="44" t="s">
        <v>3</v>
      </c>
      <c r="R600" s="28" t="s">
        <v>55</v>
      </c>
      <c r="S600" s="48">
        <f t="shared" si="377"/>
        <v>1015000</v>
      </c>
      <c r="T600" s="48">
        <f t="shared" ref="T600:T601" ca="1" si="433">SUMIF($C:$C,$C600,$S:$S)*IF($O600&gt;=1,1,0)</f>
        <v>1015000</v>
      </c>
      <c r="U600" s="107"/>
      <c r="V600" s="165"/>
      <c r="W600" s="28">
        <v>546</v>
      </c>
      <c r="X600" s="105">
        <v>1.45</v>
      </c>
      <c r="Y600" s="105">
        <v>9.6999999999999993</v>
      </c>
      <c r="Z600" s="73" t="s">
        <v>468</v>
      </c>
      <c r="AA600" s="28">
        <v>100</v>
      </c>
    </row>
    <row r="601" spans="1:27" x14ac:dyDescent="0.25">
      <c r="A601" s="4"/>
      <c r="B601" s="28" t="s">
        <v>621</v>
      </c>
      <c r="C601" s="75" t="s">
        <v>622</v>
      </c>
      <c r="D601" s="28" t="s">
        <v>624</v>
      </c>
      <c r="E601" s="28">
        <f t="shared" si="250"/>
        <v>92109</v>
      </c>
      <c r="F601" s="143" t="str">
        <f>INDEX(PV_Summary!$B$18:$B$118,MATCH($E601,PV_Summary!$A$18:$A$118,0))</f>
        <v>S</v>
      </c>
      <c r="G601" s="123">
        <v>32.764809</v>
      </c>
      <c r="H601" s="61">
        <v>-117.228319</v>
      </c>
      <c r="I601" s="44" t="s">
        <v>302</v>
      </c>
      <c r="J601" s="46">
        <f t="shared" ca="1" si="430"/>
        <v>1.5</v>
      </c>
      <c r="K601" s="100"/>
      <c r="L601" s="44" t="str">
        <f t="shared" ca="1" si="431"/>
        <v>Total</v>
      </c>
      <c r="M601" s="46">
        <f t="shared" ca="1" si="432"/>
        <v>1.25</v>
      </c>
      <c r="N601" s="46"/>
      <c r="O601" s="41">
        <f t="shared" ca="1" si="409"/>
        <v>13</v>
      </c>
      <c r="Q601" s="44"/>
      <c r="S601" s="48">
        <f t="shared" si="377"/>
        <v>0</v>
      </c>
      <c r="T601" s="48">
        <f t="shared" ca="1" si="433"/>
        <v>13972000</v>
      </c>
      <c r="W601" s="28" t="s">
        <v>604</v>
      </c>
      <c r="X601" s="105"/>
      <c r="Y601" s="105"/>
      <c r="Z601" s="73" t="s">
        <v>604</v>
      </c>
      <c r="AA601" s="28"/>
    </row>
    <row r="602" spans="1:27" x14ac:dyDescent="0.25">
      <c r="A602" s="4"/>
      <c r="B602" s="98" t="s">
        <v>623</v>
      </c>
      <c r="C602" s="75" t="s">
        <v>622</v>
      </c>
      <c r="D602" s="28" t="s">
        <v>624</v>
      </c>
      <c r="E602" s="28">
        <f t="shared" si="250"/>
        <v>92109</v>
      </c>
      <c r="F602" s="143" t="str">
        <f>INDEX(PV_Summary!$B$18:$B$118,MATCH($E602,PV_Summary!$A$18:$A$118,0))</f>
        <v>S</v>
      </c>
      <c r="G602" s="123">
        <v>32.766886999999997</v>
      </c>
      <c r="H602" s="61">
        <v>-117.23264899999999</v>
      </c>
      <c r="I602" s="44" t="s">
        <v>3</v>
      </c>
      <c r="J602" s="46">
        <f t="shared" si="421"/>
        <v>0.75</v>
      </c>
      <c r="K602" s="100"/>
      <c r="L602" s="44" t="str">
        <f t="shared" si="422"/>
        <v/>
      </c>
      <c r="M602" s="46">
        <f t="shared" si="423"/>
        <v>0.75</v>
      </c>
      <c r="N602" s="46"/>
      <c r="O602" s="41">
        <f t="shared" si="409"/>
        <v>0</v>
      </c>
      <c r="P602" s="42">
        <v>145000</v>
      </c>
      <c r="Q602" s="44" t="s">
        <v>3</v>
      </c>
      <c r="R602" s="28" t="s">
        <v>55</v>
      </c>
      <c r="S602" s="48">
        <f t="shared" si="377"/>
        <v>1015000</v>
      </c>
      <c r="T602" s="48">
        <f t="shared" ref="T602:T633" si="434">SUMIF($C:$C,$C602,$S:$S)*IF($O602&gt;=1,1,0)</f>
        <v>0</v>
      </c>
      <c r="W602" s="28">
        <v>741</v>
      </c>
      <c r="X602" s="105">
        <v>1.5</v>
      </c>
      <c r="Y602" s="105">
        <v>10</v>
      </c>
      <c r="Z602" s="73" t="s">
        <v>494</v>
      </c>
      <c r="AA602" s="28">
        <v>0</v>
      </c>
    </row>
    <row r="603" spans="1:27" x14ac:dyDescent="0.25">
      <c r="A603" s="4"/>
      <c r="B603" s="98" t="s">
        <v>625</v>
      </c>
      <c r="C603" s="75" t="s">
        <v>622</v>
      </c>
      <c r="D603" s="28" t="s">
        <v>624</v>
      </c>
      <c r="E603" s="28">
        <f t="shared" si="250"/>
        <v>92109</v>
      </c>
      <c r="F603" s="143" t="str">
        <f>INDEX(PV_Summary!$B$18:$B$118,MATCH($E603,PV_Summary!$A$18:$A$118,0))</f>
        <v>S</v>
      </c>
      <c r="G603" s="123">
        <v>32.765926</v>
      </c>
      <c r="H603" s="61">
        <v>-117.231466</v>
      </c>
      <c r="I603" s="44" t="s">
        <v>3</v>
      </c>
      <c r="J603" s="46">
        <f>IF(O603&gt;1,Sym_Scl_Aggr_Parent,IF(O603&lt;1,Sym_Scl_Aggr_Child,Sym_Scl_Normal))</f>
        <v>0.75</v>
      </c>
      <c r="K603" s="100"/>
      <c r="L603" s="44" t="str">
        <f>IF(O603&gt;1,"Total","")</f>
        <v/>
      </c>
      <c r="M603" s="46">
        <f>IF(O603&gt;1,Label_Scl_Aggr_Parent,IF(O603&lt;1,Label_Scl_Aggr_Child,Label_Scl_Normal))</f>
        <v>0.75</v>
      </c>
      <c r="N603" s="46"/>
      <c r="O603" s="41">
        <f t="shared" si="409"/>
        <v>0</v>
      </c>
      <c r="P603" s="42">
        <v>120000</v>
      </c>
      <c r="Q603" s="44" t="s">
        <v>3</v>
      </c>
      <c r="R603" s="28" t="s">
        <v>55</v>
      </c>
      <c r="S603" s="48">
        <f t="shared" ref="S603:S617" si="435">IF(ISNUMBER(FIND("Existing",$Q603)),0,IF($P603=0,0,INDEX(PV_W_Type_Rating_Tbl,MATCH($Q603,PV_Type_List,0),MATCH($R603,Rating_List,0)+4*DC_AC_Num)*$P603))</f>
        <v>840000</v>
      </c>
      <c r="T603" s="48">
        <f t="shared" si="434"/>
        <v>0</v>
      </c>
      <c r="W603" s="28">
        <v>741</v>
      </c>
      <c r="X603" s="105">
        <v>1.5</v>
      </c>
      <c r="Y603" s="105">
        <v>10</v>
      </c>
      <c r="Z603" s="73" t="s">
        <v>494</v>
      </c>
      <c r="AA603" s="28">
        <v>0</v>
      </c>
    </row>
    <row r="604" spans="1:27" x14ac:dyDescent="0.25">
      <c r="A604" s="4"/>
      <c r="B604" s="98" t="s">
        <v>627</v>
      </c>
      <c r="C604" s="75" t="s">
        <v>622</v>
      </c>
      <c r="D604" s="28" t="s">
        <v>624</v>
      </c>
      <c r="E604" s="28">
        <f t="shared" si="250"/>
        <v>92109</v>
      </c>
      <c r="F604" s="143" t="str">
        <f>INDEX(PV_Summary!$B$18:$B$118,MATCH($E604,PV_Summary!$A$18:$A$118,0))</f>
        <v>S</v>
      </c>
      <c r="G604" s="123">
        <v>32.763818999999998</v>
      </c>
      <c r="H604" s="61">
        <v>-117.230935</v>
      </c>
      <c r="I604" s="44" t="s">
        <v>3</v>
      </c>
      <c r="J604" s="46">
        <f>IF(O604&gt;1,Sym_Scl_Aggr_Parent,IF(O604&lt;1,Sym_Scl_Aggr_Child,Sym_Scl_Normal))</f>
        <v>0.75</v>
      </c>
      <c r="K604" s="100"/>
      <c r="L604" s="44" t="str">
        <f>IF(O604&gt;1,"Total","")</f>
        <v/>
      </c>
      <c r="M604" s="46">
        <f>IF(O604&gt;1,Label_Scl_Aggr_Parent,IF(O604&lt;1,Label_Scl_Aggr_Child,Label_Scl_Normal))</f>
        <v>0.75</v>
      </c>
      <c r="N604" s="46"/>
      <c r="O604" s="41">
        <f t="shared" si="409"/>
        <v>0</v>
      </c>
      <c r="P604" s="42">
        <v>40000</v>
      </c>
      <c r="Q604" s="44" t="s">
        <v>3</v>
      </c>
      <c r="R604" s="28" t="s">
        <v>55</v>
      </c>
      <c r="S604" s="48">
        <f t="shared" si="435"/>
        <v>280000</v>
      </c>
      <c r="T604" s="48">
        <f t="shared" si="434"/>
        <v>0</v>
      </c>
      <c r="W604" s="28">
        <v>741</v>
      </c>
      <c r="X604" s="105">
        <v>1.5</v>
      </c>
      <c r="Y604" s="105">
        <v>10</v>
      </c>
      <c r="Z604" s="73" t="s">
        <v>494</v>
      </c>
      <c r="AA604" s="28">
        <v>50</v>
      </c>
    </row>
    <row r="605" spans="1:27" x14ac:dyDescent="0.25">
      <c r="A605" s="4"/>
      <c r="B605" s="98" t="s">
        <v>628</v>
      </c>
      <c r="C605" s="75" t="s">
        <v>622</v>
      </c>
      <c r="D605" s="28" t="s">
        <v>624</v>
      </c>
      <c r="E605" s="28">
        <f t="shared" si="250"/>
        <v>92109</v>
      </c>
      <c r="F605" s="143" t="str">
        <f>INDEX(PV_Summary!$B$18:$B$118,MATCH($E605,PV_Summary!$A$18:$A$118,0))</f>
        <v>S</v>
      </c>
      <c r="G605" s="123">
        <v>32.762625999999997</v>
      </c>
      <c r="H605" s="61">
        <v>-117.230188</v>
      </c>
      <c r="I605" s="44" t="s">
        <v>3</v>
      </c>
      <c r="J605" s="46">
        <f t="shared" ref="J605:J612" si="436">IF(O605&gt;1,Sym_Scl_Aggr_Parent,IF(O605&lt;1,Sym_Scl_Aggr_Child,Sym_Scl_Normal))</f>
        <v>0.75</v>
      </c>
      <c r="K605" s="100"/>
      <c r="L605" s="44" t="str">
        <f t="shared" ref="L605:L612" si="437">IF(O605&gt;1,"Total","")</f>
        <v/>
      </c>
      <c r="M605" s="46">
        <f t="shared" ref="M605:M612" si="438">IF(O605&gt;1,Label_Scl_Aggr_Parent,IF(O605&lt;1,Label_Scl_Aggr_Child,Label_Scl_Normal))</f>
        <v>0.75</v>
      </c>
      <c r="N605" s="46"/>
      <c r="O605" s="41">
        <f t="shared" si="409"/>
        <v>0</v>
      </c>
      <c r="P605" s="42">
        <v>34000</v>
      </c>
      <c r="Q605" s="44" t="s">
        <v>3</v>
      </c>
      <c r="R605" s="28" t="s">
        <v>55</v>
      </c>
      <c r="S605" s="48">
        <f t="shared" si="435"/>
        <v>238000</v>
      </c>
      <c r="T605" s="48">
        <f t="shared" si="434"/>
        <v>0</v>
      </c>
      <c r="W605" s="28">
        <v>100</v>
      </c>
      <c r="X605" s="105">
        <v>1.46</v>
      </c>
      <c r="Y605" s="105">
        <v>9.75</v>
      </c>
      <c r="Z605" s="73" t="s">
        <v>467</v>
      </c>
      <c r="AA605" s="28">
        <v>50</v>
      </c>
    </row>
    <row r="606" spans="1:27" x14ac:dyDescent="0.25">
      <c r="A606" s="4"/>
      <c r="B606" s="98" t="s">
        <v>626</v>
      </c>
      <c r="C606" s="75" t="s">
        <v>622</v>
      </c>
      <c r="D606" s="28" t="s">
        <v>624</v>
      </c>
      <c r="E606" s="28">
        <f t="shared" si="250"/>
        <v>92109</v>
      </c>
      <c r="F606" s="143" t="str">
        <f>INDEX(PV_Summary!$B$18:$B$118,MATCH($E606,PV_Summary!$A$18:$A$118,0))</f>
        <v>S</v>
      </c>
      <c r="G606" s="123">
        <v>32.763126</v>
      </c>
      <c r="H606" s="61">
        <v>-117.22964399999999</v>
      </c>
      <c r="I606" s="44" t="s">
        <v>3</v>
      </c>
      <c r="J606" s="46">
        <f t="shared" si="436"/>
        <v>0.75</v>
      </c>
      <c r="K606" s="100"/>
      <c r="L606" s="44" t="str">
        <f t="shared" si="437"/>
        <v/>
      </c>
      <c r="M606" s="46">
        <f t="shared" si="438"/>
        <v>0.75</v>
      </c>
      <c r="N606" s="46"/>
      <c r="O606" s="41">
        <f t="shared" si="409"/>
        <v>0</v>
      </c>
      <c r="P606" s="42">
        <v>80000</v>
      </c>
      <c r="Q606" s="44" t="s">
        <v>3</v>
      </c>
      <c r="R606" s="28" t="s">
        <v>55</v>
      </c>
      <c r="S606" s="48">
        <f t="shared" si="435"/>
        <v>560000</v>
      </c>
      <c r="T606" s="48">
        <f t="shared" si="434"/>
        <v>0</v>
      </c>
      <c r="W606" s="28">
        <v>100</v>
      </c>
      <c r="X606" s="105">
        <v>1.46</v>
      </c>
      <c r="Y606" s="105">
        <v>9.75</v>
      </c>
      <c r="Z606" s="73" t="s">
        <v>467</v>
      </c>
      <c r="AA606" s="28">
        <v>200</v>
      </c>
    </row>
    <row r="607" spans="1:27" x14ac:dyDescent="0.25">
      <c r="A607" s="4"/>
      <c r="B607" s="98" t="s">
        <v>630</v>
      </c>
      <c r="C607" s="75" t="s">
        <v>622</v>
      </c>
      <c r="D607" s="28" t="s">
        <v>624</v>
      </c>
      <c r="E607" s="28">
        <f t="shared" si="250"/>
        <v>92109</v>
      </c>
      <c r="F607" s="143" t="str">
        <f>INDEX(PV_Summary!$B$18:$B$118,MATCH($E607,PV_Summary!$A$18:$A$118,0))</f>
        <v>S</v>
      </c>
      <c r="G607" s="123">
        <v>32.763050999999997</v>
      </c>
      <c r="H607" s="61">
        <v>-117.22796200000001</v>
      </c>
      <c r="I607" s="44" t="s">
        <v>3</v>
      </c>
      <c r="J607" s="46">
        <f t="shared" si="436"/>
        <v>0.75</v>
      </c>
      <c r="K607" s="100"/>
      <c r="L607" s="44" t="str">
        <f t="shared" si="437"/>
        <v/>
      </c>
      <c r="M607" s="46">
        <f t="shared" si="438"/>
        <v>0.75</v>
      </c>
      <c r="N607" s="46"/>
      <c r="O607" s="41">
        <f t="shared" si="409"/>
        <v>0</v>
      </c>
      <c r="P607" s="42">
        <v>220000</v>
      </c>
      <c r="Q607" s="44" t="s">
        <v>3</v>
      </c>
      <c r="R607" s="28" t="s">
        <v>55</v>
      </c>
      <c r="S607" s="48">
        <f t="shared" si="435"/>
        <v>1540000</v>
      </c>
      <c r="T607" s="48">
        <f t="shared" si="434"/>
        <v>0</v>
      </c>
      <c r="W607" s="28">
        <v>100</v>
      </c>
      <c r="X607" s="105">
        <v>1.46</v>
      </c>
      <c r="Y607" s="105">
        <v>9.75</v>
      </c>
      <c r="Z607" s="73" t="s">
        <v>467</v>
      </c>
      <c r="AA607" s="28">
        <v>200</v>
      </c>
    </row>
    <row r="608" spans="1:27" x14ac:dyDescent="0.25">
      <c r="A608" s="4"/>
      <c r="B608" s="98" t="s">
        <v>631</v>
      </c>
      <c r="C608" s="75" t="s">
        <v>622</v>
      </c>
      <c r="D608" s="28" t="s">
        <v>624</v>
      </c>
      <c r="E608" s="28">
        <f t="shared" si="250"/>
        <v>92109</v>
      </c>
      <c r="F608" s="143" t="str">
        <f>INDEX(PV_Summary!$B$18:$B$118,MATCH($E608,PV_Summary!$A$18:$A$118,0))</f>
        <v>S</v>
      </c>
      <c r="G608" s="123">
        <v>32.762638000000003</v>
      </c>
      <c r="H608" s="61">
        <v>-117.225311</v>
      </c>
      <c r="I608" s="44" t="s">
        <v>3</v>
      </c>
      <c r="J608" s="46">
        <f t="shared" si="436"/>
        <v>0.75</v>
      </c>
      <c r="K608" s="100"/>
      <c r="L608" s="44" t="str">
        <f t="shared" si="437"/>
        <v/>
      </c>
      <c r="M608" s="46">
        <f t="shared" si="438"/>
        <v>0.75</v>
      </c>
      <c r="N608" s="46"/>
      <c r="O608" s="41">
        <f t="shared" si="409"/>
        <v>0</v>
      </c>
      <c r="P608" s="42">
        <v>357000</v>
      </c>
      <c r="Q608" s="44" t="s">
        <v>3</v>
      </c>
      <c r="R608" s="28" t="s">
        <v>55</v>
      </c>
      <c r="S608" s="48">
        <f t="shared" si="435"/>
        <v>2499000</v>
      </c>
      <c r="T608" s="48">
        <f t="shared" si="434"/>
        <v>0</v>
      </c>
      <c r="W608" s="28">
        <v>100</v>
      </c>
      <c r="X608" s="105">
        <v>1.46</v>
      </c>
      <c r="Y608" s="105">
        <v>9.75</v>
      </c>
      <c r="Z608" s="73" t="s">
        <v>467</v>
      </c>
      <c r="AA608" s="28">
        <v>200</v>
      </c>
    </row>
    <row r="609" spans="1:27" x14ac:dyDescent="0.25">
      <c r="A609" s="4"/>
      <c r="B609" s="98" t="s">
        <v>632</v>
      </c>
      <c r="C609" s="75" t="s">
        <v>622</v>
      </c>
      <c r="D609" s="28" t="s">
        <v>624</v>
      </c>
      <c r="E609" s="28">
        <f t="shared" si="250"/>
        <v>92109</v>
      </c>
      <c r="F609" s="143" t="str">
        <f>INDEX(PV_Summary!$B$18:$B$118,MATCH($E609,PV_Summary!$A$18:$A$118,0))</f>
        <v>S</v>
      </c>
      <c r="G609" s="123">
        <v>32.762377000000001</v>
      </c>
      <c r="H609" s="61">
        <v>-117.22248</v>
      </c>
      <c r="I609" s="44" t="s">
        <v>3</v>
      </c>
      <c r="J609" s="46">
        <f t="shared" si="436"/>
        <v>0.75</v>
      </c>
      <c r="K609" s="100"/>
      <c r="L609" s="44" t="str">
        <f t="shared" si="437"/>
        <v/>
      </c>
      <c r="M609" s="46">
        <f t="shared" si="438"/>
        <v>0.75</v>
      </c>
      <c r="N609" s="46"/>
      <c r="O609" s="41">
        <f t="shared" si="409"/>
        <v>0</v>
      </c>
      <c r="P609" s="42">
        <v>380000</v>
      </c>
      <c r="Q609" s="44" t="s">
        <v>3</v>
      </c>
      <c r="R609" s="28" t="s">
        <v>55</v>
      </c>
      <c r="S609" s="48">
        <f t="shared" si="435"/>
        <v>2660000</v>
      </c>
      <c r="T609" s="48">
        <f t="shared" si="434"/>
        <v>0</v>
      </c>
      <c r="W609" s="28">
        <v>100</v>
      </c>
      <c r="X609" s="105">
        <v>1.46</v>
      </c>
      <c r="Y609" s="105">
        <v>9.75</v>
      </c>
      <c r="Z609" s="73" t="s">
        <v>467</v>
      </c>
      <c r="AA609" s="28">
        <v>200</v>
      </c>
    </row>
    <row r="610" spans="1:27" x14ac:dyDescent="0.25">
      <c r="A610" s="4"/>
      <c r="B610" s="98" t="s">
        <v>633</v>
      </c>
      <c r="C610" s="75" t="s">
        <v>622</v>
      </c>
      <c r="D610" s="28" t="s">
        <v>624</v>
      </c>
      <c r="E610" s="28">
        <f t="shared" si="250"/>
        <v>92109</v>
      </c>
      <c r="F610" s="143" t="str">
        <f>INDEX(PV_Summary!$B$18:$B$118,MATCH($E610,PV_Summary!$A$18:$A$118,0))</f>
        <v>S</v>
      </c>
      <c r="G610" s="123">
        <v>32.762326999999999</v>
      </c>
      <c r="H610" s="61">
        <v>-117.221355</v>
      </c>
      <c r="I610" s="44" t="s">
        <v>3</v>
      </c>
      <c r="J610" s="46">
        <f t="shared" si="436"/>
        <v>0.75</v>
      </c>
      <c r="K610" s="100"/>
      <c r="L610" s="44" t="str">
        <f t="shared" si="437"/>
        <v/>
      </c>
      <c r="M610" s="46">
        <f t="shared" si="438"/>
        <v>0.75</v>
      </c>
      <c r="N610" s="46"/>
      <c r="O610" s="41">
        <f t="shared" si="409"/>
        <v>0</v>
      </c>
      <c r="P610" s="42">
        <v>310000</v>
      </c>
      <c r="Q610" s="44" t="s">
        <v>3</v>
      </c>
      <c r="R610" s="28" t="s">
        <v>55</v>
      </c>
      <c r="S610" s="48">
        <f t="shared" si="435"/>
        <v>2170000</v>
      </c>
      <c r="T610" s="48">
        <f t="shared" si="434"/>
        <v>0</v>
      </c>
      <c r="W610" s="28">
        <v>100</v>
      </c>
      <c r="X610" s="105">
        <v>1.46</v>
      </c>
      <c r="Y610" s="105">
        <v>9.75</v>
      </c>
      <c r="Z610" s="73" t="s">
        <v>467</v>
      </c>
      <c r="AA610" s="28">
        <v>200</v>
      </c>
    </row>
    <row r="611" spans="1:27" x14ac:dyDescent="0.25">
      <c r="A611" s="4"/>
      <c r="B611" s="98" t="s">
        <v>634</v>
      </c>
      <c r="C611" s="75" t="s">
        <v>622</v>
      </c>
      <c r="D611" s="28" t="s">
        <v>624</v>
      </c>
      <c r="E611" s="28">
        <f t="shared" si="250"/>
        <v>92109</v>
      </c>
      <c r="F611" s="143" t="str">
        <f>INDEX(PV_Summary!$B$18:$B$118,MATCH($E611,PV_Summary!$A$18:$A$118,0))</f>
        <v>S</v>
      </c>
      <c r="G611" s="123">
        <v>32.762318</v>
      </c>
      <c r="H611" s="61">
        <v>-117.220001</v>
      </c>
      <c r="I611" s="44" t="s">
        <v>3</v>
      </c>
      <c r="J611" s="46">
        <f t="shared" si="436"/>
        <v>0.75</v>
      </c>
      <c r="K611" s="100"/>
      <c r="L611" s="44" t="str">
        <f t="shared" si="437"/>
        <v/>
      </c>
      <c r="M611" s="46">
        <f t="shared" si="438"/>
        <v>0.75</v>
      </c>
      <c r="N611" s="46"/>
      <c r="O611" s="41">
        <f t="shared" si="409"/>
        <v>0</v>
      </c>
      <c r="P611" s="42">
        <v>256000</v>
      </c>
      <c r="Q611" s="44" t="s">
        <v>3</v>
      </c>
      <c r="R611" s="28" t="s">
        <v>55</v>
      </c>
      <c r="S611" s="48">
        <f t="shared" si="435"/>
        <v>1792000</v>
      </c>
      <c r="T611" s="48">
        <f t="shared" si="434"/>
        <v>0</v>
      </c>
      <c r="W611" s="28">
        <v>100</v>
      </c>
      <c r="X611" s="105">
        <v>1.46</v>
      </c>
      <c r="Y611" s="105">
        <v>9.75</v>
      </c>
      <c r="Z611" s="73" t="s">
        <v>467</v>
      </c>
      <c r="AA611" s="28">
        <v>0</v>
      </c>
    </row>
    <row r="612" spans="1:27" x14ac:dyDescent="0.25">
      <c r="A612" s="4"/>
      <c r="B612" s="98" t="s">
        <v>635</v>
      </c>
      <c r="C612" s="75" t="s">
        <v>622</v>
      </c>
      <c r="D612" s="28" t="s">
        <v>624</v>
      </c>
      <c r="E612" s="28">
        <f t="shared" si="250"/>
        <v>92109</v>
      </c>
      <c r="F612" s="143" t="str">
        <f>INDEX(PV_Summary!$B$18:$B$118,MATCH($E612,PV_Summary!$A$18:$A$118,0))</f>
        <v>S</v>
      </c>
      <c r="G612" s="123">
        <v>32.761799000000003</v>
      </c>
      <c r="H612" s="61">
        <v>-117.218819</v>
      </c>
      <c r="I612" s="44" t="s">
        <v>3</v>
      </c>
      <c r="J612" s="46">
        <f t="shared" si="436"/>
        <v>0.75</v>
      </c>
      <c r="K612" s="100"/>
      <c r="L612" s="44" t="str">
        <f t="shared" si="437"/>
        <v/>
      </c>
      <c r="M612" s="46">
        <f t="shared" si="438"/>
        <v>0.75</v>
      </c>
      <c r="N612" s="46"/>
      <c r="O612" s="41">
        <f t="shared" si="409"/>
        <v>0</v>
      </c>
      <c r="P612" s="42">
        <v>42000</v>
      </c>
      <c r="Q612" s="44" t="s">
        <v>3</v>
      </c>
      <c r="R612" s="28" t="s">
        <v>55</v>
      </c>
      <c r="S612" s="48">
        <f t="shared" si="435"/>
        <v>294000</v>
      </c>
      <c r="T612" s="48">
        <f t="shared" si="434"/>
        <v>0</v>
      </c>
      <c r="W612" s="28">
        <v>100</v>
      </c>
      <c r="X612" s="105">
        <v>1.46</v>
      </c>
      <c r="Y612" s="105">
        <v>9.75</v>
      </c>
      <c r="Z612" s="73" t="s">
        <v>467</v>
      </c>
      <c r="AA612" s="28">
        <v>0</v>
      </c>
    </row>
    <row r="613" spans="1:27" x14ac:dyDescent="0.25">
      <c r="A613" s="4"/>
      <c r="B613" s="98" t="s">
        <v>629</v>
      </c>
      <c r="C613" s="75" t="s">
        <v>622</v>
      </c>
      <c r="D613" s="28" t="s">
        <v>624</v>
      </c>
      <c r="E613" s="28">
        <f t="shared" si="250"/>
        <v>92109</v>
      </c>
      <c r="F613" s="143" t="str">
        <f>INDEX(PV_Summary!$B$18:$B$118,MATCH($E613,PV_Summary!$A$18:$A$118,0))</f>
        <v>S</v>
      </c>
      <c r="G613" s="123">
        <v>32.764155000000002</v>
      </c>
      <c r="H613" s="61">
        <v>-117.221553</v>
      </c>
      <c r="I613" s="44" t="s">
        <v>3</v>
      </c>
      <c r="J613" s="46">
        <f>IF(O613&gt;1,Sym_Scl_Aggr_Parent,IF(O613&lt;1,Sym_Scl_Aggr_Child,Sym_Scl_Normal))</f>
        <v>0.75</v>
      </c>
      <c r="K613" s="100"/>
      <c r="L613" s="44" t="str">
        <f>IF(O613&gt;1,"Total","")</f>
        <v/>
      </c>
      <c r="M613" s="46">
        <f>IF(O613&gt;1,Label_Scl_Aggr_Parent,IF(O613&lt;1,Label_Scl_Aggr_Child,Label_Scl_Normal))</f>
        <v>0.75</v>
      </c>
      <c r="N613" s="46"/>
      <c r="O613" s="41">
        <f t="shared" si="409"/>
        <v>0</v>
      </c>
      <c r="P613" s="42">
        <v>12000</v>
      </c>
      <c r="Q613" s="44" t="s">
        <v>3</v>
      </c>
      <c r="R613" s="28" t="s">
        <v>55</v>
      </c>
      <c r="S613" s="48">
        <f t="shared" si="435"/>
        <v>84000</v>
      </c>
      <c r="T613" s="48">
        <f t="shared" si="434"/>
        <v>0</v>
      </c>
      <c r="W613" s="28">
        <v>100</v>
      </c>
      <c r="X613" s="105">
        <v>1.46</v>
      </c>
      <c r="Y613" s="105">
        <v>9.75</v>
      </c>
      <c r="Z613" s="73" t="s">
        <v>467</v>
      </c>
      <c r="AA613" s="28">
        <v>0</v>
      </c>
    </row>
    <row r="614" spans="1:27" x14ac:dyDescent="0.25">
      <c r="A614" s="4"/>
      <c r="B614" s="62" t="s">
        <v>636</v>
      </c>
      <c r="C614" s="75" t="s">
        <v>637</v>
      </c>
      <c r="D614" s="28" t="s">
        <v>624</v>
      </c>
      <c r="E614" s="28">
        <f t="shared" si="250"/>
        <v>92109</v>
      </c>
      <c r="F614" s="143" t="str">
        <f>INDEX(PV_Summary!$B$18:$B$118,MATCH($E614,PV_Summary!$A$18:$A$118,0))</f>
        <v>S</v>
      </c>
      <c r="G614" s="123">
        <v>32.764037000000002</v>
      </c>
      <c r="H614" s="61">
        <v>-117.218448</v>
      </c>
      <c r="I614" s="44" t="s">
        <v>302</v>
      </c>
      <c r="J614" s="46">
        <f ca="1">IF(O614&gt;1,Sym_Scl_Aggr_Parent,IF(O614&lt;1,Sym_Scl_Aggr_Child,Sym_Scl_Normal))</f>
        <v>1.5</v>
      </c>
      <c r="K614" s="158" t="s">
        <v>170</v>
      </c>
      <c r="L614" s="44" t="str">
        <f ca="1">IF(O614&gt;1,"Total","")</f>
        <v>Total</v>
      </c>
      <c r="M614" s="46">
        <f ca="1">IF(O614&gt;1,Label_Scl_Aggr_Parent,IF(O614&lt;1,Label_Scl_Aggr_Child,Label_Scl_Normal))</f>
        <v>1.25</v>
      </c>
      <c r="N614" s="46"/>
      <c r="O614" s="41">
        <f t="shared" ca="1" si="409"/>
        <v>3</v>
      </c>
      <c r="Q614" s="44"/>
      <c r="S614" s="48">
        <f t="shared" si="435"/>
        <v>0</v>
      </c>
      <c r="T614" s="48">
        <f t="shared" ca="1" si="434"/>
        <v>2100000</v>
      </c>
      <c r="W614" s="28">
        <v>100</v>
      </c>
      <c r="X614" s="105">
        <v>1.46</v>
      </c>
      <c r="Y614" s="105">
        <v>9.75</v>
      </c>
      <c r="Z614" s="73" t="s">
        <v>467</v>
      </c>
      <c r="AA614" s="28"/>
    </row>
    <row r="615" spans="1:27" x14ac:dyDescent="0.25">
      <c r="A615" s="4"/>
      <c r="B615" s="98" t="s">
        <v>638</v>
      </c>
      <c r="C615" s="75" t="s">
        <v>637</v>
      </c>
      <c r="D615" s="28" t="s">
        <v>624</v>
      </c>
      <c r="E615" s="28">
        <f t="shared" si="250"/>
        <v>92109</v>
      </c>
      <c r="F615" s="143" t="str">
        <f>INDEX(PV_Summary!$B$18:$B$118,MATCH($E615,PV_Summary!$A$18:$A$118,0))</f>
        <v>S</v>
      </c>
      <c r="G615" s="123">
        <v>32.763415000000002</v>
      </c>
      <c r="H615" s="61">
        <v>-117.21883099999999</v>
      </c>
      <c r="I615" s="44" t="s">
        <v>3</v>
      </c>
      <c r="J615" s="46">
        <f>IF(O615&gt;1,Sym_Scl_Aggr_Parent,IF(O615&lt;1,Sym_Scl_Aggr_Child,Sym_Scl_Normal))</f>
        <v>0.75</v>
      </c>
      <c r="K615" s="100"/>
      <c r="L615" s="44" t="str">
        <f>IF(O615&gt;1,"Total","")</f>
        <v/>
      </c>
      <c r="M615" s="46">
        <f>IF(O615&gt;1,Label_Scl_Aggr_Parent,IF(O615&lt;1,Label_Scl_Aggr_Child,Label_Scl_Normal))</f>
        <v>0.75</v>
      </c>
      <c r="N615" s="46"/>
      <c r="O615" s="41">
        <f t="shared" si="409"/>
        <v>0</v>
      </c>
      <c r="P615" s="42">
        <v>145000</v>
      </c>
      <c r="Q615" s="44" t="s">
        <v>3</v>
      </c>
      <c r="R615" s="28" t="s">
        <v>55</v>
      </c>
      <c r="S615" s="48">
        <f t="shared" si="435"/>
        <v>1015000</v>
      </c>
      <c r="T615" s="48">
        <f t="shared" si="434"/>
        <v>0</v>
      </c>
      <c r="W615" s="28">
        <v>100</v>
      </c>
      <c r="X615" s="105">
        <v>1.46</v>
      </c>
      <c r="Y615" s="105">
        <v>9.75</v>
      </c>
      <c r="Z615" s="73" t="s">
        <v>467</v>
      </c>
      <c r="AA615" s="28">
        <v>100</v>
      </c>
    </row>
    <row r="616" spans="1:27" x14ac:dyDescent="0.25">
      <c r="A616" s="4"/>
      <c r="B616" s="98" t="s">
        <v>639</v>
      </c>
      <c r="C616" s="75" t="s">
        <v>637</v>
      </c>
      <c r="D616" s="28" t="s">
        <v>624</v>
      </c>
      <c r="E616" s="28">
        <f t="shared" si="250"/>
        <v>92109</v>
      </c>
      <c r="F616" s="143" t="str">
        <f>INDEX(PV_Summary!$B$18:$B$118,MATCH($E616,PV_Summary!$A$18:$A$118,0))</f>
        <v>S</v>
      </c>
      <c r="G616" s="123">
        <v>32.762583999999997</v>
      </c>
      <c r="H616" s="61">
        <v>-117.217741</v>
      </c>
      <c r="I616" s="44" t="s">
        <v>3</v>
      </c>
      <c r="J616" s="46">
        <f>IF(O616&gt;1,Sym_Scl_Aggr_Parent,IF(O616&lt;1,Sym_Scl_Aggr_Child,Sym_Scl_Normal))</f>
        <v>0.75</v>
      </c>
      <c r="K616" s="100"/>
      <c r="L616" s="44" t="str">
        <f>IF(O616&gt;1,"Total","")</f>
        <v/>
      </c>
      <c r="M616" s="46">
        <f>IF(O616&gt;1,Label_Scl_Aggr_Parent,IF(O616&lt;1,Label_Scl_Aggr_Child,Label_Scl_Normal))</f>
        <v>0.75</v>
      </c>
      <c r="N616" s="46"/>
      <c r="O616" s="41">
        <f t="shared" si="409"/>
        <v>0</v>
      </c>
      <c r="P616" s="42">
        <v>155000</v>
      </c>
      <c r="Q616" s="44" t="s">
        <v>3</v>
      </c>
      <c r="R616" s="28" t="s">
        <v>55</v>
      </c>
      <c r="S616" s="48">
        <f t="shared" si="435"/>
        <v>1085000</v>
      </c>
      <c r="T616" s="48">
        <f t="shared" si="434"/>
        <v>0</v>
      </c>
      <c r="W616" s="28">
        <v>100</v>
      </c>
      <c r="X616" s="105">
        <v>1.46</v>
      </c>
      <c r="Y616" s="105">
        <v>9.75</v>
      </c>
      <c r="Z616" s="73" t="s">
        <v>467</v>
      </c>
      <c r="AA616" s="28">
        <v>100</v>
      </c>
    </row>
    <row r="617" spans="1:27" x14ac:dyDescent="0.25">
      <c r="A617" s="4"/>
      <c r="B617" s="28" t="s">
        <v>619</v>
      </c>
      <c r="C617" s="107" t="s">
        <v>620</v>
      </c>
      <c r="D617" s="28" t="s">
        <v>617</v>
      </c>
      <c r="E617" s="28">
        <f t="shared" si="250"/>
        <v>92110</v>
      </c>
      <c r="F617" s="143" t="str">
        <f>INDEX(PV_Summary!$B$18:$B$118,MATCH($E617,PV_Summary!$A$18:$A$118,0))</f>
        <v>S</v>
      </c>
      <c r="G617" s="123">
        <v>32.764906000000003</v>
      </c>
      <c r="H617" s="61">
        <v>-117.200495</v>
      </c>
      <c r="I617" s="44" t="s">
        <v>37</v>
      </c>
      <c r="J617" s="46">
        <f ca="1">IF(O617&gt;1,Sym_Scl_Aggr_Parent,IF(O617&lt;1,Sym_Scl_Aggr_Child,Sym_Scl_Normal))</f>
        <v>1</v>
      </c>
      <c r="K617" s="100"/>
      <c r="L617" s="44" t="str">
        <f ca="1">IF(O617&gt;1,"Total","")</f>
        <v/>
      </c>
      <c r="M617" s="46">
        <f ca="1">IF(O617&gt;1,Label_Scl_Aggr_Parent,IF(O617&lt;1,Label_Scl_Aggr_Child,Label_Scl_Normal))</f>
        <v>1</v>
      </c>
      <c r="N617" s="46"/>
      <c r="O617" s="41">
        <f t="shared" ca="1" si="409"/>
        <v>1</v>
      </c>
      <c r="P617" s="42">
        <v>170000</v>
      </c>
      <c r="Q617" s="44" t="s">
        <v>37</v>
      </c>
      <c r="R617" s="28" t="s">
        <v>55</v>
      </c>
      <c r="S617" s="48">
        <f t="shared" si="435"/>
        <v>1190000</v>
      </c>
      <c r="T617" s="48">
        <f t="shared" ca="1" si="434"/>
        <v>1190000</v>
      </c>
      <c r="W617" s="28">
        <v>100</v>
      </c>
      <c r="X617" s="105">
        <v>1.46</v>
      </c>
      <c r="Y617" s="105">
        <v>9.75</v>
      </c>
      <c r="Z617" s="73" t="s">
        <v>467</v>
      </c>
      <c r="AA617" s="28"/>
    </row>
    <row r="618" spans="1:27" x14ac:dyDescent="0.25">
      <c r="A618" s="4"/>
      <c r="B618" s="28" t="s">
        <v>618</v>
      </c>
      <c r="C618" s="106" t="s">
        <v>616</v>
      </c>
      <c r="D618" s="28" t="s">
        <v>617</v>
      </c>
      <c r="E618" s="28">
        <f t="shared" si="250"/>
        <v>92110</v>
      </c>
      <c r="F618" s="143" t="str">
        <f>INDEX(PV_Summary!$B$18:$B$118,MATCH($E618,PV_Summary!$A$18:$A$118,0))</f>
        <v>S</v>
      </c>
      <c r="G618" s="123">
        <v>32.758465000000001</v>
      </c>
      <c r="H618" s="61">
        <v>-117.19972799999999</v>
      </c>
      <c r="I618" s="44" t="s">
        <v>3</v>
      </c>
      <c r="J618" s="46">
        <f t="shared" ref="J618:J643" ca="1" si="439">IF(O618&gt;1,Sym_Scl_Aggr_Parent,IF(O618&lt;1,Sym_Scl_Aggr_Child,Sym_Scl_Normal))</f>
        <v>1</v>
      </c>
      <c r="K618" s="100"/>
      <c r="L618" s="44" t="str">
        <f t="shared" ref="L618:L643" ca="1" si="440">IF(O618&gt;1,"Total","")</f>
        <v/>
      </c>
      <c r="M618" s="46">
        <f t="shared" ref="M618:M643" ca="1" si="441">IF(O618&gt;1,Label_Scl_Aggr_Parent,IF(O618&lt;1,Label_Scl_Aggr_Child,Label_Scl_Normal))</f>
        <v>1</v>
      </c>
      <c r="N618" s="46"/>
      <c r="O618" s="41">
        <f t="shared" ca="1" si="409"/>
        <v>1</v>
      </c>
      <c r="P618" s="42">
        <v>200000</v>
      </c>
      <c r="Q618" s="44" t="s">
        <v>3</v>
      </c>
      <c r="R618" s="28" t="s">
        <v>55</v>
      </c>
      <c r="S618" s="48">
        <f t="shared" ref="S618:S653" si="442">IF(ISNUMBER(FIND("Existing",$Q618)),0,IF($P618=0,0,INDEX(PV_W_Type_Rating_Tbl,MATCH($Q618,PV_Type_List,0),MATCH($R618,Rating_List,0)+4*DC_AC_Num)*$P618))</f>
        <v>1400000</v>
      </c>
      <c r="T618" s="48">
        <f t="shared" ca="1" si="434"/>
        <v>1400000</v>
      </c>
      <c r="W618" s="28">
        <v>491</v>
      </c>
      <c r="X618" s="105">
        <v>1.5</v>
      </c>
      <c r="Y618" s="105">
        <v>9.98</v>
      </c>
      <c r="Z618" s="73" t="s">
        <v>467</v>
      </c>
      <c r="AA618" s="28"/>
    </row>
    <row r="619" spans="1:27" x14ac:dyDescent="0.25">
      <c r="A619" s="4"/>
      <c r="B619" s="28" t="s">
        <v>659</v>
      </c>
      <c r="C619" s="75" t="s">
        <v>660</v>
      </c>
      <c r="D619" s="28" t="s">
        <v>617</v>
      </c>
      <c r="E619" s="28">
        <f t="shared" si="250"/>
        <v>92110</v>
      </c>
      <c r="F619" s="143" t="str">
        <f>INDEX(PV_Summary!$B$18:$B$118,MATCH($E619,PV_Summary!$A$18:$A$118,0))</f>
        <v>S</v>
      </c>
      <c r="G619" s="123">
        <v>32.755977000000001</v>
      </c>
      <c r="H619" s="61">
        <v>-117.212121</v>
      </c>
      <c r="I619" s="44" t="s">
        <v>302</v>
      </c>
      <c r="J619" s="46">
        <f t="shared" ref="J619:J623" ca="1" si="443">IF(O619&gt;1,Sym_Scl_Aggr_Parent,IF(O619&lt;1,Sym_Scl_Aggr_Child,Sym_Scl_Normal))</f>
        <v>1.5</v>
      </c>
      <c r="K619" s="158" t="s">
        <v>170</v>
      </c>
      <c r="L619" s="44" t="str">
        <f t="shared" ref="L619:L623" ca="1" si="444">IF(O619&gt;1,"Total","")</f>
        <v>Total</v>
      </c>
      <c r="M619" s="46">
        <f t="shared" ref="M619:M623" ca="1" si="445">IF(O619&gt;1,Label_Scl_Aggr_Parent,IF(O619&lt;1,Label_Scl_Aggr_Child,Label_Scl_Normal))</f>
        <v>1.25</v>
      </c>
      <c r="N619" s="46"/>
      <c r="O619" s="41">
        <f t="shared" ca="1" si="409"/>
        <v>6</v>
      </c>
      <c r="Q619" s="44"/>
      <c r="S619" s="48">
        <f t="shared" si="442"/>
        <v>0</v>
      </c>
      <c r="T619" s="48">
        <f t="shared" ca="1" si="434"/>
        <v>5285000</v>
      </c>
      <c r="W619" s="28" t="s">
        <v>604</v>
      </c>
      <c r="X619" s="105"/>
      <c r="Y619" s="105"/>
      <c r="Z619" s="73" t="s">
        <v>604</v>
      </c>
      <c r="AA619" s="28"/>
    </row>
    <row r="620" spans="1:27" x14ac:dyDescent="0.25">
      <c r="A620" s="4"/>
      <c r="B620" s="98" t="s">
        <v>661</v>
      </c>
      <c r="C620" s="75" t="s">
        <v>660</v>
      </c>
      <c r="D620" s="28" t="s">
        <v>617</v>
      </c>
      <c r="E620" s="28">
        <f t="shared" ref="E620:E625" si="446">RIGHT(TRIM(D620),5)*1</f>
        <v>92110</v>
      </c>
      <c r="F620" s="143" t="str">
        <f>INDEX(PV_Summary!$B$18:$B$118,MATCH($E620,PV_Summary!$A$18:$A$118,0))</f>
        <v>S</v>
      </c>
      <c r="G620" s="123">
        <v>32.755080999999997</v>
      </c>
      <c r="H620" s="61">
        <v>-117.212265</v>
      </c>
      <c r="I620" s="44" t="s">
        <v>37</v>
      </c>
      <c r="J620" s="46">
        <f t="shared" si="443"/>
        <v>0.75</v>
      </c>
      <c r="K620" s="100"/>
      <c r="L620" s="44" t="str">
        <f t="shared" si="444"/>
        <v/>
      </c>
      <c r="M620" s="46">
        <f t="shared" si="445"/>
        <v>0.75</v>
      </c>
      <c r="N620" s="46"/>
      <c r="O620" s="41">
        <f t="shared" si="409"/>
        <v>0</v>
      </c>
      <c r="P620" s="42">
        <v>95000</v>
      </c>
      <c r="Q620" s="44" t="s">
        <v>37</v>
      </c>
      <c r="R620" s="28" t="s">
        <v>55</v>
      </c>
      <c r="S620" s="48">
        <f t="shared" si="442"/>
        <v>665000</v>
      </c>
      <c r="T620" s="48">
        <f t="shared" si="434"/>
        <v>0</v>
      </c>
      <c r="W620" s="28">
        <v>100</v>
      </c>
      <c r="X620" s="105">
        <v>1.46</v>
      </c>
      <c r="Y620" s="105">
        <v>9.75</v>
      </c>
      <c r="Z620" s="73" t="s">
        <v>467</v>
      </c>
      <c r="AA620" s="28">
        <v>0</v>
      </c>
    </row>
    <row r="621" spans="1:27" x14ac:dyDescent="0.25">
      <c r="A621" s="4"/>
      <c r="B621" s="98" t="s">
        <v>662</v>
      </c>
      <c r="C621" s="75" t="s">
        <v>660</v>
      </c>
      <c r="D621" s="28" t="s">
        <v>617</v>
      </c>
      <c r="E621" s="28">
        <f t="shared" si="446"/>
        <v>92110</v>
      </c>
      <c r="F621" s="143" t="str">
        <f>INDEX(PV_Summary!$B$18:$B$118,MATCH($E621,PV_Summary!$A$18:$A$118,0))</f>
        <v>S</v>
      </c>
      <c r="G621" s="123">
        <v>32.754601999999998</v>
      </c>
      <c r="H621" s="61">
        <v>-117.21433</v>
      </c>
      <c r="I621" s="44" t="s">
        <v>3</v>
      </c>
      <c r="J621" s="46">
        <f t="shared" si="443"/>
        <v>0.75</v>
      </c>
      <c r="K621" s="100"/>
      <c r="L621" s="44" t="str">
        <f t="shared" si="444"/>
        <v/>
      </c>
      <c r="M621" s="46">
        <f t="shared" si="445"/>
        <v>0.75</v>
      </c>
      <c r="N621" s="46"/>
      <c r="O621" s="41">
        <f t="shared" si="409"/>
        <v>0</v>
      </c>
      <c r="P621" s="42">
        <v>59000</v>
      </c>
      <c r="Q621" s="44" t="s">
        <v>3</v>
      </c>
      <c r="R621" s="28" t="s">
        <v>55</v>
      </c>
      <c r="S621" s="48">
        <f t="shared" si="442"/>
        <v>413000</v>
      </c>
      <c r="T621" s="48">
        <f t="shared" si="434"/>
        <v>0</v>
      </c>
      <c r="W621" s="28">
        <v>136</v>
      </c>
      <c r="X621" s="105">
        <v>1.49</v>
      </c>
      <c r="Y621" s="105">
        <v>9.9600000000000009</v>
      </c>
      <c r="Z621" s="73" t="s">
        <v>467</v>
      </c>
      <c r="AA621" s="28">
        <v>400</v>
      </c>
    </row>
    <row r="622" spans="1:27" x14ac:dyDescent="0.25">
      <c r="A622" s="4"/>
      <c r="B622" s="98" t="s">
        <v>663</v>
      </c>
      <c r="C622" s="75" t="s">
        <v>660</v>
      </c>
      <c r="D622" s="28" t="s">
        <v>617</v>
      </c>
      <c r="E622" s="28">
        <f t="shared" si="446"/>
        <v>92110</v>
      </c>
      <c r="F622" s="143" t="str">
        <f>INDEX(PV_Summary!$B$18:$B$118,MATCH($E622,PV_Summary!$A$18:$A$118,0))</f>
        <v>S</v>
      </c>
      <c r="G622" s="123">
        <v>32.755822000000002</v>
      </c>
      <c r="H622" s="61">
        <v>-117.213746</v>
      </c>
      <c r="I622" s="44" t="s">
        <v>3</v>
      </c>
      <c r="J622" s="46">
        <f t="shared" si="443"/>
        <v>0.75</v>
      </c>
      <c r="K622" s="100"/>
      <c r="L622" s="44" t="str">
        <f t="shared" si="444"/>
        <v/>
      </c>
      <c r="M622" s="46">
        <f t="shared" si="445"/>
        <v>0.75</v>
      </c>
      <c r="N622" s="46"/>
      <c r="O622" s="41">
        <f t="shared" si="409"/>
        <v>0</v>
      </c>
      <c r="P622" s="42">
        <v>268000</v>
      </c>
      <c r="Q622" s="44" t="s">
        <v>3</v>
      </c>
      <c r="R622" s="28" t="s">
        <v>55</v>
      </c>
      <c r="S622" s="48">
        <f t="shared" si="442"/>
        <v>1876000</v>
      </c>
      <c r="T622" s="48">
        <f t="shared" si="434"/>
        <v>0</v>
      </c>
      <c r="W622" s="28">
        <v>136</v>
      </c>
      <c r="X622" s="105">
        <v>1.49</v>
      </c>
      <c r="Y622" s="105">
        <v>9.9600000000000009</v>
      </c>
      <c r="Z622" s="73" t="s">
        <v>467</v>
      </c>
      <c r="AA622" s="28">
        <v>50</v>
      </c>
    </row>
    <row r="623" spans="1:27" x14ac:dyDescent="0.25">
      <c r="A623" s="4"/>
      <c r="B623" s="98" t="s">
        <v>664</v>
      </c>
      <c r="C623" s="75" t="s">
        <v>660</v>
      </c>
      <c r="D623" s="28" t="s">
        <v>617</v>
      </c>
      <c r="E623" s="28">
        <f t="shared" si="446"/>
        <v>92110</v>
      </c>
      <c r="F623" s="143" t="str">
        <f>INDEX(PV_Summary!$B$18:$B$118,MATCH($E623,PV_Summary!$A$18:$A$118,0))</f>
        <v>S</v>
      </c>
      <c r="G623" s="123">
        <v>32.756757999999998</v>
      </c>
      <c r="H623" s="61">
        <v>-117.21225800000001</v>
      </c>
      <c r="I623" s="44" t="s">
        <v>3</v>
      </c>
      <c r="J623" s="46">
        <f t="shared" si="443"/>
        <v>0.75</v>
      </c>
      <c r="K623" s="100"/>
      <c r="L623" s="44" t="str">
        <f t="shared" si="444"/>
        <v/>
      </c>
      <c r="M623" s="46">
        <f t="shared" si="445"/>
        <v>0.75</v>
      </c>
      <c r="N623" s="46"/>
      <c r="O623" s="41">
        <f t="shared" si="409"/>
        <v>0</v>
      </c>
      <c r="P623" s="42">
        <v>225000</v>
      </c>
      <c r="Q623" s="44" t="s">
        <v>3</v>
      </c>
      <c r="R623" s="28" t="s">
        <v>55</v>
      </c>
      <c r="S623" s="48">
        <f t="shared" si="442"/>
        <v>1575000</v>
      </c>
      <c r="T623" s="48">
        <f t="shared" si="434"/>
        <v>0</v>
      </c>
      <c r="W623" s="28">
        <v>100</v>
      </c>
      <c r="X623" s="105">
        <v>1.46</v>
      </c>
      <c r="Y623" s="105">
        <v>9.75</v>
      </c>
      <c r="Z623" s="73" t="s">
        <v>467</v>
      </c>
      <c r="AA623" s="28">
        <v>50</v>
      </c>
    </row>
    <row r="624" spans="1:27" x14ac:dyDescent="0.25">
      <c r="A624" s="4"/>
      <c r="B624" s="98" t="s">
        <v>665</v>
      </c>
      <c r="C624" s="75" t="s">
        <v>660</v>
      </c>
      <c r="D624" s="28" t="s">
        <v>617</v>
      </c>
      <c r="E624" s="28">
        <f t="shared" si="446"/>
        <v>92110</v>
      </c>
      <c r="F624" s="143" t="str">
        <f>INDEX(PV_Summary!$B$18:$B$118,MATCH($E624,PV_Summary!$A$18:$A$118,0))</f>
        <v>S</v>
      </c>
      <c r="G624" s="123">
        <v>32.754522999999999</v>
      </c>
      <c r="H624" s="61">
        <v>-117.21032599999999</v>
      </c>
      <c r="I624" s="44" t="s">
        <v>3</v>
      </c>
      <c r="J624" s="46">
        <f t="shared" ref="J624:J634" si="447">IF(O624&gt;1,Sym_Scl_Aggr_Parent,IF(O624&lt;1,Sym_Scl_Aggr_Child,Sym_Scl_Normal))</f>
        <v>0.75</v>
      </c>
      <c r="K624" s="100"/>
      <c r="L624" s="44" t="str">
        <f t="shared" ref="L624:L634" si="448">IF(O624&gt;1,"Total","")</f>
        <v/>
      </c>
      <c r="M624" s="46">
        <f t="shared" ref="M624:M634" si="449">IF(O624&gt;1,Label_Scl_Aggr_Parent,IF(O624&lt;1,Label_Scl_Aggr_Child,Label_Scl_Normal))</f>
        <v>0.75</v>
      </c>
      <c r="N624" s="46"/>
      <c r="O624" s="41">
        <f t="shared" si="409"/>
        <v>0</v>
      </c>
      <c r="P624" s="42">
        <v>108000</v>
      </c>
      <c r="Q624" s="44" t="s">
        <v>3</v>
      </c>
      <c r="R624" s="28" t="s">
        <v>55</v>
      </c>
      <c r="S624" s="48">
        <f t="shared" si="442"/>
        <v>756000</v>
      </c>
      <c r="T624" s="48">
        <f t="shared" si="434"/>
        <v>0</v>
      </c>
      <c r="W624" s="28">
        <v>136</v>
      </c>
      <c r="X624" s="105">
        <v>1.49</v>
      </c>
      <c r="Y624" s="105">
        <v>9.9600000000000009</v>
      </c>
      <c r="Z624" s="73" t="s">
        <v>467</v>
      </c>
      <c r="AA624" s="28">
        <v>100</v>
      </c>
    </row>
    <row r="625" spans="1:27" x14ac:dyDescent="0.25">
      <c r="A625" s="4"/>
      <c r="B625" s="62" t="s">
        <v>1407</v>
      </c>
      <c r="C625" s="75" t="s">
        <v>1408</v>
      </c>
      <c r="D625" s="28" t="s">
        <v>617</v>
      </c>
      <c r="E625" s="28">
        <f t="shared" si="446"/>
        <v>92110</v>
      </c>
      <c r="F625" s="143" t="str">
        <f>INDEX(PV_Summary!$B$18:$B$118,MATCH($E625,PV_Summary!$A$18:$A$118,0))</f>
        <v>S</v>
      </c>
      <c r="G625" s="123">
        <v>32.748116000000003</v>
      </c>
      <c r="H625" s="61">
        <v>-117.198357</v>
      </c>
      <c r="I625" s="44"/>
      <c r="J625" s="46">
        <f t="shared" ca="1" si="447"/>
        <v>1.5</v>
      </c>
      <c r="K625" s="100"/>
      <c r="L625" s="44" t="str">
        <f t="shared" ca="1" si="448"/>
        <v>Total</v>
      </c>
      <c r="M625" s="46">
        <f t="shared" ca="1" si="449"/>
        <v>1.25</v>
      </c>
      <c r="N625" s="46"/>
      <c r="O625" s="41">
        <f t="shared" ca="1" si="409"/>
        <v>5</v>
      </c>
      <c r="Q625" s="44"/>
      <c r="S625" s="48">
        <f t="shared" si="442"/>
        <v>0</v>
      </c>
      <c r="T625" s="48">
        <f t="shared" ca="1" si="434"/>
        <v>4284000</v>
      </c>
      <c r="W625" s="28">
        <v>124</v>
      </c>
      <c r="X625" s="105">
        <v>0.79</v>
      </c>
      <c r="Y625" s="105">
        <v>5.26</v>
      </c>
      <c r="Z625" s="73" t="s">
        <v>467</v>
      </c>
      <c r="AA625" s="28"/>
    </row>
    <row r="626" spans="1:27" x14ac:dyDescent="0.25">
      <c r="A626" s="4"/>
      <c r="B626" s="98" t="s">
        <v>1409</v>
      </c>
      <c r="C626" s="75" t="s">
        <v>1408</v>
      </c>
      <c r="D626" s="28" t="s">
        <v>617</v>
      </c>
      <c r="E626" s="28">
        <f t="shared" ref="E626:E632" si="450">RIGHT(TRIM(D626),5)*1</f>
        <v>92110</v>
      </c>
      <c r="F626" s="143" t="str">
        <f>INDEX(PV_Summary!$B$18:$B$118,MATCH($E626,PV_Summary!$A$18:$A$118,0))</f>
        <v>S</v>
      </c>
      <c r="G626" s="123">
        <v>32.750905000000003</v>
      </c>
      <c r="H626" s="61">
        <v>-117.198919</v>
      </c>
      <c r="I626" s="44"/>
      <c r="J626" s="46">
        <f t="shared" si="447"/>
        <v>0.75</v>
      </c>
      <c r="K626" s="100"/>
      <c r="L626" s="44" t="str">
        <f t="shared" si="448"/>
        <v/>
      </c>
      <c r="M626" s="46">
        <f t="shared" si="449"/>
        <v>0.75</v>
      </c>
      <c r="N626" s="46"/>
      <c r="O626" s="41">
        <f t="shared" si="409"/>
        <v>0</v>
      </c>
      <c r="P626" s="42">
        <v>306000</v>
      </c>
      <c r="Q626" s="44" t="s">
        <v>37</v>
      </c>
      <c r="R626" s="28" t="s">
        <v>55</v>
      </c>
      <c r="S626" s="48">
        <f t="shared" si="442"/>
        <v>2142000</v>
      </c>
      <c r="T626" s="48">
        <f t="shared" si="434"/>
        <v>0</v>
      </c>
      <c r="W626" s="28">
        <v>124</v>
      </c>
      <c r="X626" s="105">
        <v>0.79</v>
      </c>
      <c r="Y626" s="105">
        <v>5.26</v>
      </c>
      <c r="Z626" s="73" t="s">
        <v>467</v>
      </c>
      <c r="AA626" s="28">
        <v>100</v>
      </c>
    </row>
    <row r="627" spans="1:27" x14ac:dyDescent="0.25">
      <c r="A627" s="4"/>
      <c r="B627" s="98" t="s">
        <v>1410</v>
      </c>
      <c r="C627" s="75" t="s">
        <v>1408</v>
      </c>
      <c r="D627" s="28" t="s">
        <v>617</v>
      </c>
      <c r="E627" s="28">
        <f t="shared" si="450"/>
        <v>92110</v>
      </c>
      <c r="F627" s="143" t="str">
        <f>INDEX(PV_Summary!$B$18:$B$118,MATCH($E627,PV_Summary!$A$18:$A$118,0))</f>
        <v>S</v>
      </c>
      <c r="G627" s="123">
        <v>32.749299000000001</v>
      </c>
      <c r="H627" s="61">
        <v>-117.198015</v>
      </c>
      <c r="I627" s="44"/>
      <c r="J627" s="46">
        <f t="shared" si="447"/>
        <v>0.75</v>
      </c>
      <c r="K627" s="100"/>
      <c r="L627" s="44" t="str">
        <f t="shared" si="448"/>
        <v/>
      </c>
      <c r="M627" s="46">
        <f t="shared" si="449"/>
        <v>0.75</v>
      </c>
      <c r="N627" s="46"/>
      <c r="O627" s="41">
        <f t="shared" si="409"/>
        <v>0</v>
      </c>
      <c r="P627" s="42">
        <v>148000</v>
      </c>
      <c r="Q627" s="44" t="s">
        <v>37</v>
      </c>
      <c r="R627" s="28" t="s">
        <v>55</v>
      </c>
      <c r="S627" s="48">
        <f t="shared" si="442"/>
        <v>1036000</v>
      </c>
      <c r="T627" s="48">
        <f t="shared" si="434"/>
        <v>0</v>
      </c>
      <c r="W627" s="28">
        <v>124</v>
      </c>
      <c r="X627" s="105">
        <v>0.79</v>
      </c>
      <c r="Y627" s="105">
        <v>5.26</v>
      </c>
      <c r="Z627" s="73" t="s">
        <v>467</v>
      </c>
      <c r="AA627" s="28">
        <v>0</v>
      </c>
    </row>
    <row r="628" spans="1:27" x14ac:dyDescent="0.25">
      <c r="A628" s="4"/>
      <c r="B628" s="98" t="s">
        <v>1411</v>
      </c>
      <c r="C628" s="75" t="s">
        <v>1408</v>
      </c>
      <c r="D628" s="28" t="s">
        <v>617</v>
      </c>
      <c r="E628" s="28">
        <f t="shared" si="450"/>
        <v>92110</v>
      </c>
      <c r="F628" s="143" t="str">
        <f>INDEX(PV_Summary!$B$18:$B$118,MATCH($E628,PV_Summary!$A$18:$A$118,0))</f>
        <v>S</v>
      </c>
      <c r="G628" s="123">
        <v>32.746581999999997</v>
      </c>
      <c r="H628" s="61">
        <v>-117.195679</v>
      </c>
      <c r="I628" s="44"/>
      <c r="J628" s="46">
        <f t="shared" si="447"/>
        <v>0.75</v>
      </c>
      <c r="K628" s="100"/>
      <c r="L628" s="44" t="str">
        <f t="shared" si="448"/>
        <v/>
      </c>
      <c r="M628" s="46">
        <f t="shared" si="449"/>
        <v>0.75</v>
      </c>
      <c r="N628" s="46"/>
      <c r="O628" s="41">
        <f t="shared" si="409"/>
        <v>0</v>
      </c>
      <c r="P628" s="42">
        <v>158000</v>
      </c>
      <c r="Q628" s="44" t="s">
        <v>37</v>
      </c>
      <c r="R628" s="28" t="s">
        <v>55</v>
      </c>
      <c r="S628" s="48">
        <f t="shared" si="442"/>
        <v>1106000</v>
      </c>
      <c r="T628" s="48">
        <f t="shared" si="434"/>
        <v>0</v>
      </c>
      <c r="W628" s="28">
        <v>124</v>
      </c>
      <c r="X628" s="105">
        <v>0.79</v>
      </c>
      <c r="Y628" s="105">
        <v>5.26</v>
      </c>
      <c r="Z628" s="73" t="s">
        <v>467</v>
      </c>
      <c r="AA628" s="28">
        <v>100</v>
      </c>
    </row>
    <row r="629" spans="1:27" x14ac:dyDescent="0.25">
      <c r="A629" s="4"/>
      <c r="B629" s="98" t="s">
        <v>1412</v>
      </c>
      <c r="C629" s="75" t="s">
        <v>1408</v>
      </c>
      <c r="D629" s="28" t="s">
        <v>617</v>
      </c>
      <c r="E629" s="28">
        <f t="shared" si="450"/>
        <v>92110</v>
      </c>
      <c r="F629" s="143" t="str">
        <f>INDEX(PV_Summary!$B$18:$B$118,MATCH($E629,PV_Summary!$A$18:$A$118,0))</f>
        <v>S</v>
      </c>
      <c r="G629" s="123">
        <v>32.747919000000003</v>
      </c>
      <c r="H629" s="61">
        <v>-117.19679499999999</v>
      </c>
      <c r="I629" s="44" t="s">
        <v>210</v>
      </c>
      <c r="J629" s="46">
        <f t="shared" si="447"/>
        <v>0.75</v>
      </c>
      <c r="K629" s="100" t="s">
        <v>157</v>
      </c>
      <c r="L629" s="44" t="str">
        <f t="shared" si="448"/>
        <v/>
      </c>
      <c r="M629" s="46">
        <f t="shared" si="449"/>
        <v>0.75</v>
      </c>
      <c r="N629" s="46"/>
      <c r="O629" s="41">
        <f t="shared" si="409"/>
        <v>0</v>
      </c>
      <c r="Q629" s="44" t="s">
        <v>172</v>
      </c>
      <c r="S629" s="48">
        <f t="shared" si="442"/>
        <v>0</v>
      </c>
      <c r="T629" s="48">
        <f t="shared" si="434"/>
        <v>0</v>
      </c>
      <c r="W629" s="28"/>
      <c r="X629" s="105"/>
      <c r="Y629" s="105"/>
      <c r="Z629" s="73"/>
      <c r="AA629" s="28"/>
    </row>
    <row r="630" spans="1:27" x14ac:dyDescent="0.25">
      <c r="A630" s="4"/>
      <c r="B630" s="62" t="s">
        <v>1413</v>
      </c>
      <c r="C630" s="75" t="s">
        <v>1414</v>
      </c>
      <c r="D630" s="28" t="s">
        <v>617</v>
      </c>
      <c r="E630" s="28">
        <f t="shared" si="450"/>
        <v>92110</v>
      </c>
      <c r="F630" s="143" t="str">
        <f>INDEX(PV_Summary!$B$18:$B$118,MATCH($E630,PV_Summary!$A$18:$A$118,0))</f>
        <v>S</v>
      </c>
      <c r="G630" s="123">
        <v>32.745440000000002</v>
      </c>
      <c r="H630" s="61">
        <v>-117.201849</v>
      </c>
      <c r="I630" s="44" t="s">
        <v>63</v>
      </c>
      <c r="J630" s="46">
        <f t="shared" ref="J630:J633" ca="1" si="451">IF(O630&gt;1,Sym_Scl_Aggr_Parent,IF(O630&lt;1,Sym_Scl_Aggr_Child,Sym_Scl_Normal))</f>
        <v>1.5</v>
      </c>
      <c r="K630" s="100"/>
      <c r="L630" s="44" t="str">
        <f t="shared" ref="L630:L633" ca="1" si="452">IF(O630&gt;1,"Total","")</f>
        <v>Total</v>
      </c>
      <c r="M630" s="46">
        <f t="shared" ref="M630:M633" ca="1" si="453">IF(O630&gt;1,Label_Scl_Aggr_Parent,IF(O630&lt;1,Label_Scl_Aggr_Child,Label_Scl_Normal))</f>
        <v>1.25</v>
      </c>
      <c r="N630" s="46"/>
      <c r="O630" s="41">
        <f t="shared" ca="1" si="409"/>
        <v>3</v>
      </c>
      <c r="Q630" s="44"/>
      <c r="S630" s="48">
        <f t="shared" si="442"/>
        <v>0</v>
      </c>
      <c r="T630" s="48">
        <f t="shared" ca="1" si="434"/>
        <v>1183000</v>
      </c>
      <c r="W630" s="28">
        <v>124</v>
      </c>
      <c r="X630" s="105">
        <v>0.79</v>
      </c>
      <c r="Y630" s="105">
        <v>5.26</v>
      </c>
      <c r="Z630" s="73" t="s">
        <v>467</v>
      </c>
      <c r="AA630" s="28"/>
    </row>
    <row r="631" spans="1:27" x14ac:dyDescent="0.25">
      <c r="A631" s="4"/>
      <c r="B631" s="98" t="s">
        <v>1415</v>
      </c>
      <c r="C631" s="75" t="s">
        <v>1414</v>
      </c>
      <c r="D631" s="28" t="s">
        <v>617</v>
      </c>
      <c r="E631" s="28">
        <f t="shared" si="450"/>
        <v>92110</v>
      </c>
      <c r="F631" s="143" t="str">
        <f>INDEX(PV_Summary!$B$18:$B$118,MATCH($E631,PV_Summary!$A$18:$A$118,0))</f>
        <v>S</v>
      </c>
      <c r="G631" s="123">
        <v>32.745713000000002</v>
      </c>
      <c r="H631" s="61">
        <v>-117.202212</v>
      </c>
      <c r="I631" s="44" t="s">
        <v>37</v>
      </c>
      <c r="J631" s="46">
        <f t="shared" si="451"/>
        <v>0.75</v>
      </c>
      <c r="K631" s="100"/>
      <c r="L631" s="44" t="str">
        <f t="shared" si="452"/>
        <v/>
      </c>
      <c r="M631" s="46">
        <f t="shared" si="453"/>
        <v>0.75</v>
      </c>
      <c r="N631" s="46"/>
      <c r="O631" s="41">
        <f t="shared" si="409"/>
        <v>0</v>
      </c>
      <c r="P631" s="42">
        <v>59000</v>
      </c>
      <c r="Q631" s="44" t="s">
        <v>37</v>
      </c>
      <c r="R631" s="28" t="s">
        <v>55</v>
      </c>
      <c r="S631" s="48">
        <f t="shared" si="442"/>
        <v>413000</v>
      </c>
      <c r="T631" s="48">
        <f t="shared" si="434"/>
        <v>0</v>
      </c>
      <c r="W631" s="28">
        <v>124</v>
      </c>
      <c r="X631" s="105">
        <v>0.79</v>
      </c>
      <c r="Y631" s="105">
        <v>5.26</v>
      </c>
      <c r="Z631" s="73" t="s">
        <v>467</v>
      </c>
      <c r="AA631" s="28">
        <v>0</v>
      </c>
    </row>
    <row r="632" spans="1:27" x14ac:dyDescent="0.25">
      <c r="A632" s="4"/>
      <c r="B632" s="98" t="s">
        <v>1416</v>
      </c>
      <c r="C632" s="75" t="s">
        <v>1414</v>
      </c>
      <c r="D632" s="28" t="s">
        <v>617</v>
      </c>
      <c r="E632" s="28">
        <f t="shared" si="450"/>
        <v>92110</v>
      </c>
      <c r="F632" s="143" t="str">
        <f>INDEX(PV_Summary!$B$18:$B$118,MATCH($E632,PV_Summary!$A$18:$A$118,0))</f>
        <v>S</v>
      </c>
      <c r="G632" s="123">
        <v>32.744916000000003</v>
      </c>
      <c r="H632" s="61">
        <v>-117.201362</v>
      </c>
      <c r="I632" s="44" t="s">
        <v>3</v>
      </c>
      <c r="J632" s="46">
        <f t="shared" si="451"/>
        <v>0.75</v>
      </c>
      <c r="K632" s="100"/>
      <c r="L632" s="44" t="str">
        <f t="shared" si="452"/>
        <v/>
      </c>
      <c r="M632" s="46">
        <f t="shared" si="453"/>
        <v>0.75</v>
      </c>
      <c r="N632" s="46"/>
      <c r="O632" s="41">
        <f t="shared" si="409"/>
        <v>0</v>
      </c>
      <c r="P632" s="42">
        <v>110000</v>
      </c>
      <c r="Q632" s="44" t="s">
        <v>3</v>
      </c>
      <c r="R632" s="28" t="s">
        <v>55</v>
      </c>
      <c r="S632" s="48">
        <f t="shared" si="442"/>
        <v>770000</v>
      </c>
      <c r="T632" s="48">
        <f t="shared" si="434"/>
        <v>0</v>
      </c>
      <c r="W632" s="28">
        <v>124</v>
      </c>
      <c r="X632" s="105">
        <v>0.79</v>
      </c>
      <c r="Y632" s="105">
        <v>5.26</v>
      </c>
      <c r="Z632" s="73" t="s">
        <v>467</v>
      </c>
      <c r="AA632" s="28">
        <v>200</v>
      </c>
    </row>
    <row r="633" spans="1:27" x14ac:dyDescent="0.25">
      <c r="A633" s="4"/>
      <c r="B633" s="28" t="s">
        <v>646</v>
      </c>
      <c r="C633" s="75" t="s">
        <v>647</v>
      </c>
      <c r="D633" s="28" t="s">
        <v>617</v>
      </c>
      <c r="E633" s="28">
        <f t="shared" si="250"/>
        <v>92110</v>
      </c>
      <c r="F633" s="143" t="str">
        <f>INDEX(PV_Summary!$B$18:$B$118,MATCH($E633,PV_Summary!$A$18:$A$118,0))</f>
        <v>S</v>
      </c>
      <c r="G633" s="123">
        <v>32.752637999999997</v>
      </c>
      <c r="H633" s="61">
        <v>-117.211669</v>
      </c>
      <c r="I633" s="44" t="s">
        <v>62</v>
      </c>
      <c r="J633" s="46">
        <f t="shared" ca="1" si="451"/>
        <v>1.5</v>
      </c>
      <c r="K633" s="100"/>
      <c r="L633" s="44" t="str">
        <f t="shared" ca="1" si="452"/>
        <v>Total</v>
      </c>
      <c r="M633" s="46">
        <f t="shared" ca="1" si="453"/>
        <v>1.25</v>
      </c>
      <c r="N633" s="46"/>
      <c r="O633" s="41">
        <f t="shared" ca="1" si="409"/>
        <v>12</v>
      </c>
      <c r="Q633" s="44"/>
      <c r="S633" s="48">
        <f t="shared" si="442"/>
        <v>0</v>
      </c>
      <c r="T633" s="48">
        <f t="shared" ca="1" si="434"/>
        <v>6351000</v>
      </c>
      <c r="W633" s="28" t="s">
        <v>604</v>
      </c>
      <c r="X633" s="105"/>
      <c r="Y633" s="105"/>
      <c r="Z633" s="73" t="s">
        <v>494</v>
      </c>
      <c r="AA633" s="28"/>
    </row>
    <row r="634" spans="1:27" x14ac:dyDescent="0.25">
      <c r="A634" s="4"/>
      <c r="B634" s="98" t="s">
        <v>648</v>
      </c>
      <c r="C634" s="75" t="s">
        <v>647</v>
      </c>
      <c r="D634" s="28" t="s">
        <v>617</v>
      </c>
      <c r="E634" s="28">
        <f t="shared" si="250"/>
        <v>92110</v>
      </c>
      <c r="F634" s="143" t="str">
        <f>INDEX(PV_Summary!$B$18:$B$118,MATCH($E634,PV_Summary!$A$18:$A$118,0))</f>
        <v>S</v>
      </c>
      <c r="G634" s="123">
        <v>32.752153</v>
      </c>
      <c r="H634" s="61">
        <v>-117.21369300000001</v>
      </c>
      <c r="I634" s="44" t="s">
        <v>37</v>
      </c>
      <c r="J634" s="46">
        <f t="shared" si="447"/>
        <v>0.75</v>
      </c>
      <c r="K634" s="100"/>
      <c r="L634" s="44" t="str">
        <f t="shared" si="448"/>
        <v/>
      </c>
      <c r="M634" s="46">
        <f t="shared" si="449"/>
        <v>0.75</v>
      </c>
      <c r="N634" s="46"/>
      <c r="O634" s="41">
        <f t="shared" si="409"/>
        <v>0</v>
      </c>
      <c r="P634" s="42">
        <v>107000</v>
      </c>
      <c r="Q634" s="44" t="s">
        <v>381</v>
      </c>
      <c r="R634" s="28" t="s">
        <v>57</v>
      </c>
      <c r="S634" s="48">
        <f t="shared" si="442"/>
        <v>535000</v>
      </c>
      <c r="T634" s="48">
        <f t="shared" ref="T634:T665" si="454">SUMIF($C:$C,$C634,$S:$S)*IF($O634&gt;=1,1,0)</f>
        <v>0</v>
      </c>
      <c r="W634" s="28">
        <v>55</v>
      </c>
      <c r="X634" s="105">
        <v>1.46</v>
      </c>
      <c r="Y634" s="105">
        <v>9.74</v>
      </c>
      <c r="Z634" s="73" t="s">
        <v>494</v>
      </c>
      <c r="AA634" s="28">
        <v>50</v>
      </c>
    </row>
    <row r="635" spans="1:27" x14ac:dyDescent="0.25">
      <c r="A635" s="4"/>
      <c r="B635" s="98" t="s">
        <v>649</v>
      </c>
      <c r="C635" s="75" t="s">
        <v>647</v>
      </c>
      <c r="D635" s="28" t="s">
        <v>617</v>
      </c>
      <c r="E635" s="28">
        <f t="shared" si="250"/>
        <v>92110</v>
      </c>
      <c r="F635" s="143" t="str">
        <f>INDEX(PV_Summary!$B$18:$B$118,MATCH($E635,PV_Summary!$A$18:$A$118,0))</f>
        <v>S</v>
      </c>
      <c r="G635" s="123">
        <v>32.751832</v>
      </c>
      <c r="H635" s="61">
        <v>-117.212264</v>
      </c>
      <c r="I635" s="44" t="s">
        <v>37</v>
      </c>
      <c r="J635" s="46">
        <f t="shared" si="439"/>
        <v>0.75</v>
      </c>
      <c r="K635" s="100"/>
      <c r="L635" s="44" t="str">
        <f t="shared" si="440"/>
        <v/>
      </c>
      <c r="M635" s="46">
        <f t="shared" si="441"/>
        <v>0.75</v>
      </c>
      <c r="N635" s="46"/>
      <c r="O635" s="41">
        <f t="shared" si="409"/>
        <v>0</v>
      </c>
      <c r="P635" s="42">
        <v>33000</v>
      </c>
      <c r="Q635" s="44" t="s">
        <v>381</v>
      </c>
      <c r="R635" s="28" t="s">
        <v>56</v>
      </c>
      <c r="S635" s="48">
        <f t="shared" si="442"/>
        <v>198000</v>
      </c>
      <c r="T635" s="48">
        <f t="shared" si="454"/>
        <v>0</v>
      </c>
      <c r="W635" s="28">
        <v>55</v>
      </c>
      <c r="X635" s="105">
        <v>1.46</v>
      </c>
      <c r="Y635" s="105">
        <v>9.74</v>
      </c>
      <c r="Z635" s="73" t="s">
        <v>494</v>
      </c>
      <c r="AA635" s="28">
        <v>100</v>
      </c>
    </row>
    <row r="636" spans="1:27" x14ac:dyDescent="0.25">
      <c r="A636" s="4"/>
      <c r="B636" s="98" t="s">
        <v>650</v>
      </c>
      <c r="C636" s="75" t="s">
        <v>647</v>
      </c>
      <c r="D636" s="28" t="s">
        <v>617</v>
      </c>
      <c r="E636" s="28">
        <f t="shared" si="250"/>
        <v>92110</v>
      </c>
      <c r="F636" s="143" t="str">
        <f>INDEX(PV_Summary!$B$18:$B$118,MATCH($E636,PV_Summary!$A$18:$A$118,0))</f>
        <v>S</v>
      </c>
      <c r="G636" s="123">
        <v>32.751677999999998</v>
      </c>
      <c r="H636" s="61">
        <v>-117.21170100000001</v>
      </c>
      <c r="I636" s="44" t="s">
        <v>37</v>
      </c>
      <c r="J636" s="46">
        <f t="shared" si="439"/>
        <v>0.75</v>
      </c>
      <c r="K636" s="100"/>
      <c r="L636" s="44" t="str">
        <f t="shared" si="440"/>
        <v/>
      </c>
      <c r="M636" s="46">
        <f t="shared" si="441"/>
        <v>0.75</v>
      </c>
      <c r="N636" s="46"/>
      <c r="O636" s="41">
        <f t="shared" si="409"/>
        <v>0</v>
      </c>
      <c r="P636" s="42">
        <v>43000</v>
      </c>
      <c r="Q636" s="44" t="s">
        <v>381</v>
      </c>
      <c r="R636" s="28" t="s">
        <v>56</v>
      </c>
      <c r="S636" s="48">
        <f t="shared" si="442"/>
        <v>258000</v>
      </c>
      <c r="T636" s="48">
        <f t="shared" si="454"/>
        <v>0</v>
      </c>
      <c r="W636" s="28">
        <v>55</v>
      </c>
      <c r="X636" s="105">
        <v>1.46</v>
      </c>
      <c r="Y636" s="105">
        <v>9.74</v>
      </c>
      <c r="Z636" s="73" t="s">
        <v>494</v>
      </c>
      <c r="AA636" s="28">
        <v>200</v>
      </c>
    </row>
    <row r="637" spans="1:27" x14ac:dyDescent="0.25">
      <c r="A637" s="4"/>
      <c r="B637" s="98" t="s">
        <v>651</v>
      </c>
      <c r="C637" s="75" t="s">
        <v>647</v>
      </c>
      <c r="D637" s="28" t="s">
        <v>617</v>
      </c>
      <c r="E637" s="28">
        <f t="shared" si="250"/>
        <v>92110</v>
      </c>
      <c r="F637" s="143" t="str">
        <f>INDEX(PV_Summary!$B$18:$B$118,MATCH($E637,PV_Summary!$A$18:$A$118,0))</f>
        <v>S</v>
      </c>
      <c r="G637" s="123">
        <v>32.751486</v>
      </c>
      <c r="H637" s="61">
        <v>-117.211065</v>
      </c>
      <c r="I637" s="44" t="s">
        <v>37</v>
      </c>
      <c r="J637" s="46">
        <f t="shared" si="439"/>
        <v>0.75</v>
      </c>
      <c r="K637" s="100"/>
      <c r="L637" s="44" t="str">
        <f t="shared" si="440"/>
        <v/>
      </c>
      <c r="M637" s="46">
        <f t="shared" si="441"/>
        <v>0.75</v>
      </c>
      <c r="N637" s="46"/>
      <c r="O637" s="41">
        <f t="shared" si="409"/>
        <v>0</v>
      </c>
      <c r="P637" s="42">
        <v>61000</v>
      </c>
      <c r="Q637" s="44" t="s">
        <v>381</v>
      </c>
      <c r="R637" s="28" t="s">
        <v>56</v>
      </c>
      <c r="S637" s="48">
        <f t="shared" si="442"/>
        <v>366000</v>
      </c>
      <c r="T637" s="48">
        <f t="shared" si="454"/>
        <v>0</v>
      </c>
      <c r="W637" s="28">
        <v>55</v>
      </c>
      <c r="X637" s="105">
        <v>1.46</v>
      </c>
      <c r="Y637" s="105">
        <v>9.74</v>
      </c>
      <c r="Z637" s="73" t="s">
        <v>494</v>
      </c>
      <c r="AA637" s="28">
        <v>300</v>
      </c>
    </row>
    <row r="638" spans="1:27" x14ac:dyDescent="0.25">
      <c r="A638" s="4"/>
      <c r="B638" s="98" t="s">
        <v>652</v>
      </c>
      <c r="C638" s="75" t="s">
        <v>647</v>
      </c>
      <c r="D638" s="28" t="s">
        <v>617</v>
      </c>
      <c r="E638" s="28">
        <f t="shared" si="250"/>
        <v>92110</v>
      </c>
      <c r="F638" s="143" t="str">
        <f>INDEX(PV_Summary!$B$18:$B$118,MATCH($E638,PV_Summary!$A$18:$A$118,0))</f>
        <v>S</v>
      </c>
      <c r="G638" s="123">
        <v>32.751261999999997</v>
      </c>
      <c r="H638" s="61">
        <v>-117.210016</v>
      </c>
      <c r="I638" s="44" t="s">
        <v>37</v>
      </c>
      <c r="J638" s="46">
        <f t="shared" si="439"/>
        <v>0.75</v>
      </c>
      <c r="K638" s="100"/>
      <c r="L638" s="44" t="str">
        <f t="shared" si="440"/>
        <v/>
      </c>
      <c r="M638" s="46">
        <f t="shared" si="441"/>
        <v>0.75</v>
      </c>
      <c r="N638" s="46"/>
      <c r="O638" s="41">
        <f t="shared" si="409"/>
        <v>0</v>
      </c>
      <c r="P638" s="42">
        <v>113000</v>
      </c>
      <c r="Q638" s="44" t="s">
        <v>381</v>
      </c>
      <c r="R638" s="28" t="s">
        <v>55</v>
      </c>
      <c r="S638" s="48">
        <f t="shared" si="442"/>
        <v>791000</v>
      </c>
      <c r="T638" s="48">
        <f t="shared" si="454"/>
        <v>0</v>
      </c>
      <c r="W638" s="28">
        <v>55</v>
      </c>
      <c r="X638" s="105">
        <v>1.46</v>
      </c>
      <c r="Y638" s="105">
        <v>9.74</v>
      </c>
      <c r="Z638" s="73" t="s">
        <v>494</v>
      </c>
      <c r="AA638" s="28">
        <v>450</v>
      </c>
    </row>
    <row r="639" spans="1:27" x14ac:dyDescent="0.25">
      <c r="A639" s="4"/>
      <c r="B639" s="98" t="s">
        <v>658</v>
      </c>
      <c r="C639" s="75" t="s">
        <v>647</v>
      </c>
      <c r="D639" s="28" t="s">
        <v>617</v>
      </c>
      <c r="E639" s="28">
        <f t="shared" si="250"/>
        <v>92110</v>
      </c>
      <c r="F639" s="143" t="str">
        <f>INDEX(PV_Summary!$B$18:$B$118,MATCH($E639,PV_Summary!$A$18:$A$118,0))</f>
        <v>S</v>
      </c>
      <c r="G639" s="123">
        <v>32.751385999999997</v>
      </c>
      <c r="H639" s="61">
        <v>-117.20828899999999</v>
      </c>
      <c r="I639" s="44" t="s">
        <v>37</v>
      </c>
      <c r="J639" s="46">
        <f t="shared" si="439"/>
        <v>0.75</v>
      </c>
      <c r="K639" s="100"/>
      <c r="L639" s="44" t="str">
        <f t="shared" si="440"/>
        <v/>
      </c>
      <c r="M639" s="46">
        <f t="shared" si="441"/>
        <v>0.75</v>
      </c>
      <c r="N639" s="46"/>
      <c r="O639" s="41">
        <f t="shared" si="409"/>
        <v>0</v>
      </c>
      <c r="P639" s="42">
        <v>14500</v>
      </c>
      <c r="Q639" s="44" t="s">
        <v>381</v>
      </c>
      <c r="R639" s="28" t="s">
        <v>56</v>
      </c>
      <c r="S639" s="48">
        <f t="shared" si="442"/>
        <v>87000</v>
      </c>
      <c r="T639" s="48">
        <f t="shared" si="454"/>
        <v>0</v>
      </c>
      <c r="W639" s="28">
        <v>740</v>
      </c>
      <c r="X639" s="105">
        <v>1.29</v>
      </c>
      <c r="Y639" s="105">
        <v>8.6199999999999992</v>
      </c>
      <c r="Z639" s="73" t="s">
        <v>494</v>
      </c>
      <c r="AA639" s="28">
        <v>0</v>
      </c>
    </row>
    <row r="640" spans="1:27" x14ac:dyDescent="0.25">
      <c r="A640" s="4"/>
      <c r="B640" s="98" t="s">
        <v>653</v>
      </c>
      <c r="C640" s="75" t="s">
        <v>647</v>
      </c>
      <c r="D640" s="28" t="s">
        <v>617</v>
      </c>
      <c r="E640" s="28">
        <f t="shared" si="250"/>
        <v>92110</v>
      </c>
      <c r="F640" s="143" t="str">
        <f>INDEX(PV_Summary!$B$18:$B$118,MATCH($E640,PV_Summary!$A$18:$A$118,0))</f>
        <v>S</v>
      </c>
      <c r="G640" s="123">
        <v>32.753041000000003</v>
      </c>
      <c r="H640" s="61">
        <v>-117.212841</v>
      </c>
      <c r="I640" s="44" t="s">
        <v>3</v>
      </c>
      <c r="J640" s="46">
        <f t="shared" si="439"/>
        <v>0.75</v>
      </c>
      <c r="K640" s="100"/>
      <c r="L640" s="44" t="str">
        <f t="shared" si="440"/>
        <v/>
      </c>
      <c r="M640" s="46">
        <f t="shared" si="441"/>
        <v>0.75</v>
      </c>
      <c r="N640" s="46"/>
      <c r="O640" s="41">
        <f t="shared" si="409"/>
        <v>0</v>
      </c>
      <c r="P640" s="42">
        <v>228000</v>
      </c>
      <c r="Q640" s="44" t="s">
        <v>3</v>
      </c>
      <c r="R640" s="28" t="s">
        <v>55</v>
      </c>
      <c r="S640" s="48">
        <f t="shared" si="442"/>
        <v>1596000</v>
      </c>
      <c r="T640" s="48">
        <f t="shared" si="454"/>
        <v>0</v>
      </c>
      <c r="W640" s="28">
        <v>740</v>
      </c>
      <c r="X640" s="105">
        <v>1.29</v>
      </c>
      <c r="Y640" s="105">
        <v>8.6199999999999992</v>
      </c>
      <c r="Z640" s="73" t="s">
        <v>494</v>
      </c>
      <c r="AA640" s="28">
        <v>150</v>
      </c>
    </row>
    <row r="641" spans="1:27" x14ac:dyDescent="0.25">
      <c r="A641" s="4"/>
      <c r="B641" s="98" t="s">
        <v>654</v>
      </c>
      <c r="C641" s="75" t="s">
        <v>647</v>
      </c>
      <c r="D641" s="28" t="s">
        <v>617</v>
      </c>
      <c r="E641" s="28">
        <f t="shared" si="250"/>
        <v>92110</v>
      </c>
      <c r="F641" s="143" t="str">
        <f>INDEX(PV_Summary!$B$18:$B$118,MATCH($E641,PV_Summary!$A$18:$A$118,0))</f>
        <v>S</v>
      </c>
      <c r="G641" s="123">
        <v>32.752462999999999</v>
      </c>
      <c r="H641" s="61">
        <v>-117.210756</v>
      </c>
      <c r="I641" s="44" t="s">
        <v>3</v>
      </c>
      <c r="J641" s="46">
        <f t="shared" si="439"/>
        <v>0.75</v>
      </c>
      <c r="K641" s="100"/>
      <c r="L641" s="44" t="str">
        <f t="shared" si="440"/>
        <v/>
      </c>
      <c r="M641" s="46">
        <f t="shared" si="441"/>
        <v>0.75</v>
      </c>
      <c r="N641" s="46"/>
      <c r="O641" s="41">
        <f t="shared" si="409"/>
        <v>0</v>
      </c>
      <c r="P641" s="42">
        <v>168000</v>
      </c>
      <c r="Q641" s="44" t="s">
        <v>3</v>
      </c>
      <c r="R641" s="28" t="s">
        <v>55</v>
      </c>
      <c r="S641" s="48">
        <f t="shared" si="442"/>
        <v>1176000</v>
      </c>
      <c r="T641" s="48">
        <f t="shared" si="454"/>
        <v>0</v>
      </c>
      <c r="W641" s="28">
        <v>740</v>
      </c>
      <c r="X641" s="105">
        <v>1.29</v>
      </c>
      <c r="Y641" s="105">
        <v>8.6199999999999992</v>
      </c>
      <c r="Z641" s="73" t="s">
        <v>494</v>
      </c>
      <c r="AA641" s="28">
        <v>150</v>
      </c>
    </row>
    <row r="642" spans="1:27" x14ac:dyDescent="0.25">
      <c r="A642" s="4"/>
      <c r="B642" s="98" t="s">
        <v>655</v>
      </c>
      <c r="C642" s="75" t="s">
        <v>647</v>
      </c>
      <c r="D642" s="28" t="s">
        <v>617</v>
      </c>
      <c r="E642" s="28">
        <f t="shared" si="250"/>
        <v>92110</v>
      </c>
      <c r="F642" s="143" t="str">
        <f>INDEX(PV_Summary!$B$18:$B$118,MATCH($E642,PV_Summary!$A$18:$A$118,0))</f>
        <v>S</v>
      </c>
      <c r="G642" s="123">
        <v>32.752305999999997</v>
      </c>
      <c r="H642" s="61">
        <v>-117.209266</v>
      </c>
      <c r="I642" s="44" t="s">
        <v>3</v>
      </c>
      <c r="J642" s="46">
        <f t="shared" si="439"/>
        <v>0.75</v>
      </c>
      <c r="K642" s="100"/>
      <c r="L642" s="44" t="str">
        <f t="shared" si="440"/>
        <v/>
      </c>
      <c r="M642" s="46">
        <f t="shared" si="441"/>
        <v>0.75</v>
      </c>
      <c r="N642" s="46"/>
      <c r="O642" s="41">
        <f t="shared" si="409"/>
        <v>0</v>
      </c>
      <c r="P642" s="42">
        <v>120000</v>
      </c>
      <c r="Q642" s="44" t="s">
        <v>3</v>
      </c>
      <c r="R642" s="28" t="s">
        <v>55</v>
      </c>
      <c r="S642" s="48">
        <f t="shared" si="442"/>
        <v>840000</v>
      </c>
      <c r="T642" s="48">
        <f t="shared" si="454"/>
        <v>0</v>
      </c>
      <c r="W642" s="28">
        <v>740</v>
      </c>
      <c r="X642" s="105">
        <v>1.29</v>
      </c>
      <c r="Y642" s="105">
        <v>8.6199999999999992</v>
      </c>
      <c r="Z642" s="73" t="s">
        <v>494</v>
      </c>
      <c r="AA642" s="28">
        <v>150</v>
      </c>
    </row>
    <row r="643" spans="1:27" x14ac:dyDescent="0.25">
      <c r="A643" s="4"/>
      <c r="B643" s="98" t="s">
        <v>656</v>
      </c>
      <c r="C643" s="75" t="s">
        <v>647</v>
      </c>
      <c r="D643" s="28" t="s">
        <v>617</v>
      </c>
      <c r="E643" s="28">
        <f t="shared" si="250"/>
        <v>92110</v>
      </c>
      <c r="F643" s="143" t="str">
        <f>INDEX(PV_Summary!$B$18:$B$118,MATCH($E643,PV_Summary!$A$18:$A$118,0))</f>
        <v>S</v>
      </c>
      <c r="G643" s="123">
        <v>32.752395999999997</v>
      </c>
      <c r="H643" s="61">
        <v>-117.20793</v>
      </c>
      <c r="I643" s="44" t="s">
        <v>3</v>
      </c>
      <c r="J643" s="46">
        <f t="shared" si="439"/>
        <v>0.75</v>
      </c>
      <c r="K643" s="100"/>
      <c r="L643" s="44" t="str">
        <f t="shared" si="440"/>
        <v/>
      </c>
      <c r="M643" s="46">
        <f t="shared" si="441"/>
        <v>0.75</v>
      </c>
      <c r="N643" s="46"/>
      <c r="O643" s="41">
        <f t="shared" si="409"/>
        <v>0</v>
      </c>
      <c r="P643" s="42">
        <v>32000</v>
      </c>
      <c r="Q643" s="44" t="s">
        <v>3</v>
      </c>
      <c r="R643" s="28" t="s">
        <v>55</v>
      </c>
      <c r="S643" s="48">
        <f t="shared" si="442"/>
        <v>224000</v>
      </c>
      <c r="T643" s="48">
        <f t="shared" si="454"/>
        <v>0</v>
      </c>
      <c r="W643" s="28">
        <v>740</v>
      </c>
      <c r="X643" s="105">
        <v>1.29</v>
      </c>
      <c r="Y643" s="105">
        <v>8.6199999999999992</v>
      </c>
      <c r="Z643" s="73" t="s">
        <v>494</v>
      </c>
      <c r="AA643" s="28">
        <v>0</v>
      </c>
    </row>
    <row r="644" spans="1:27" x14ac:dyDescent="0.25">
      <c r="A644" s="4"/>
      <c r="B644" s="98" t="s">
        <v>657</v>
      </c>
      <c r="C644" s="75" t="s">
        <v>647</v>
      </c>
      <c r="D644" s="28" t="s">
        <v>617</v>
      </c>
      <c r="E644" s="28">
        <f t="shared" si="250"/>
        <v>92110</v>
      </c>
      <c r="F644" s="143" t="str">
        <f>INDEX(PV_Summary!$B$18:$B$118,MATCH($E644,PV_Summary!$A$18:$A$118,0))</f>
        <v>S</v>
      </c>
      <c r="G644" s="123">
        <v>32.751888000000001</v>
      </c>
      <c r="H644" s="61">
        <v>-117.20822800000001</v>
      </c>
      <c r="I644" s="44" t="s">
        <v>3</v>
      </c>
      <c r="J644" s="46">
        <f t="shared" ref="J644:J653" si="455">IF(O644&gt;1,Sym_Scl_Aggr_Parent,IF(O644&lt;1,Sym_Scl_Aggr_Child,Sym_Scl_Normal))</f>
        <v>0.75</v>
      </c>
      <c r="K644" s="100"/>
      <c r="L644" s="44" t="str">
        <f t="shared" ref="L644:L653" si="456">IF(O644&gt;1,"Total","")</f>
        <v/>
      </c>
      <c r="M644" s="46">
        <f t="shared" ref="M644:M653" si="457">IF(O644&gt;1,Label_Scl_Aggr_Parent,IF(O644&lt;1,Label_Scl_Aggr_Child,Label_Scl_Normal))</f>
        <v>0.75</v>
      </c>
      <c r="N644" s="46"/>
      <c r="O644" s="41">
        <f t="shared" si="409"/>
        <v>0</v>
      </c>
      <c r="P644" s="42">
        <v>40000</v>
      </c>
      <c r="Q644" s="44" t="s">
        <v>3</v>
      </c>
      <c r="R644" s="28" t="s">
        <v>55</v>
      </c>
      <c r="S644" s="48">
        <f t="shared" si="442"/>
        <v>280000</v>
      </c>
      <c r="T644" s="48">
        <f t="shared" si="454"/>
        <v>0</v>
      </c>
      <c r="W644" s="28">
        <v>740</v>
      </c>
      <c r="X644" s="105">
        <v>1.29</v>
      </c>
      <c r="Y644" s="105">
        <v>8.6199999999999992</v>
      </c>
      <c r="Z644" s="73" t="s">
        <v>494</v>
      </c>
      <c r="AA644" s="28">
        <v>0</v>
      </c>
    </row>
    <row r="645" spans="1:27" x14ac:dyDescent="0.25">
      <c r="A645" s="4"/>
      <c r="B645" s="62" t="s">
        <v>1417</v>
      </c>
      <c r="C645" s="75" t="s">
        <v>1418</v>
      </c>
      <c r="D645" s="28" t="s">
        <v>617</v>
      </c>
      <c r="E645" s="28">
        <f t="shared" si="250"/>
        <v>92110</v>
      </c>
      <c r="F645" s="143" t="str">
        <f>INDEX(PV_Summary!$B$18:$B$118,MATCH($E645,PV_Summary!$A$18:$A$118,0))</f>
        <v>S</v>
      </c>
      <c r="G645" s="123">
        <v>32.752206999999999</v>
      </c>
      <c r="H645" s="61">
        <v>-117.21705799999999</v>
      </c>
      <c r="I645" s="44" t="s">
        <v>62</v>
      </c>
      <c r="J645" s="46">
        <f t="shared" ref="J645:J649" ca="1" si="458">IF(O645&gt;1,Sym_Scl_Aggr_Parent,IF(O645&lt;1,Sym_Scl_Aggr_Child,Sym_Scl_Normal))</f>
        <v>1.5</v>
      </c>
      <c r="K645" s="100"/>
      <c r="L645" s="44" t="str">
        <f t="shared" ref="L645:L649" ca="1" si="459">IF(O645&gt;1,"Total","")</f>
        <v>Total</v>
      </c>
      <c r="M645" s="46">
        <f t="shared" ref="M645:M649" ca="1" si="460">IF(O645&gt;1,Label_Scl_Aggr_Parent,IF(O645&lt;1,Label_Scl_Aggr_Child,Label_Scl_Normal))</f>
        <v>1.25</v>
      </c>
      <c r="N645" s="46"/>
      <c r="O645" s="41">
        <f t="shared" ca="1" si="409"/>
        <v>4</v>
      </c>
      <c r="Q645" s="44"/>
      <c r="S645" s="48">
        <f t="shared" si="442"/>
        <v>0</v>
      </c>
      <c r="T645" s="48">
        <f t="shared" ca="1" si="454"/>
        <v>1260000</v>
      </c>
      <c r="W645" s="28">
        <v>136</v>
      </c>
      <c r="X645" s="105">
        <v>1.49</v>
      </c>
      <c r="Y645" s="105">
        <v>9.9600000000000009</v>
      </c>
      <c r="Z645" s="73" t="s">
        <v>467</v>
      </c>
      <c r="AA645" s="28"/>
    </row>
    <row r="646" spans="1:27" x14ac:dyDescent="0.25">
      <c r="A646" s="4"/>
      <c r="B646" s="98" t="s">
        <v>1419</v>
      </c>
      <c r="C646" s="75" t="s">
        <v>1418</v>
      </c>
      <c r="D646" s="28" t="s">
        <v>617</v>
      </c>
      <c r="E646" s="28">
        <f t="shared" ref="E646:E648" si="461">RIGHT(TRIM(D646),5)*1</f>
        <v>92110</v>
      </c>
      <c r="F646" s="143" t="str">
        <f>INDEX(PV_Summary!$B$18:$B$118,MATCH($E646,PV_Summary!$A$18:$A$118,0))</f>
        <v>S</v>
      </c>
      <c r="G646" s="123">
        <v>32.751773</v>
      </c>
      <c r="H646" s="61">
        <v>-117.217399</v>
      </c>
      <c r="I646" s="44" t="s">
        <v>3</v>
      </c>
      <c r="J646" s="46">
        <f t="shared" si="458"/>
        <v>0.75</v>
      </c>
      <c r="K646" s="100"/>
      <c r="L646" s="44" t="str">
        <f t="shared" si="459"/>
        <v/>
      </c>
      <c r="M646" s="46">
        <f t="shared" si="460"/>
        <v>0.75</v>
      </c>
      <c r="N646" s="46"/>
      <c r="O646" s="41">
        <f t="shared" si="409"/>
        <v>0</v>
      </c>
      <c r="P646" s="42">
        <v>121000</v>
      </c>
      <c r="Q646" s="44" t="s">
        <v>3</v>
      </c>
      <c r="R646" s="28" t="s">
        <v>55</v>
      </c>
      <c r="S646" s="48">
        <f t="shared" si="442"/>
        <v>847000</v>
      </c>
      <c r="T646" s="48">
        <f t="shared" si="454"/>
        <v>0</v>
      </c>
      <c r="W646" s="28">
        <v>136</v>
      </c>
      <c r="X646" s="105">
        <v>1.49</v>
      </c>
      <c r="Y646" s="105">
        <v>9.9600000000000009</v>
      </c>
      <c r="Z646" s="73" t="s">
        <v>467</v>
      </c>
      <c r="AA646" s="28">
        <v>0</v>
      </c>
    </row>
    <row r="647" spans="1:27" x14ac:dyDescent="0.25">
      <c r="A647" s="4"/>
      <c r="B647" s="98" t="s">
        <v>1420</v>
      </c>
      <c r="C647" s="75" t="s">
        <v>1418</v>
      </c>
      <c r="D647" s="28" t="s">
        <v>617</v>
      </c>
      <c r="E647" s="28">
        <f t="shared" si="461"/>
        <v>92110</v>
      </c>
      <c r="F647" s="143" t="str">
        <f>INDEX(PV_Summary!$B$18:$B$118,MATCH($E647,PV_Summary!$A$18:$A$118,0))</f>
        <v>S</v>
      </c>
      <c r="G647" s="123">
        <v>32.751733999999999</v>
      </c>
      <c r="H647" s="61">
        <v>-117.217454</v>
      </c>
      <c r="I647" s="44" t="s">
        <v>37</v>
      </c>
      <c r="J647" s="46">
        <f t="shared" si="458"/>
        <v>0.75</v>
      </c>
      <c r="K647" s="100"/>
      <c r="L647" s="44" t="str">
        <f t="shared" si="459"/>
        <v/>
      </c>
      <c r="M647" s="46">
        <f t="shared" si="460"/>
        <v>0.75</v>
      </c>
      <c r="N647" s="46"/>
      <c r="O647" s="41">
        <f t="shared" si="409"/>
        <v>0</v>
      </c>
      <c r="P647" s="42">
        <v>40000</v>
      </c>
      <c r="Q647" s="44" t="s">
        <v>37</v>
      </c>
      <c r="R647" s="28" t="s">
        <v>55</v>
      </c>
      <c r="S647" s="48">
        <f t="shared" si="442"/>
        <v>280000</v>
      </c>
      <c r="T647" s="48">
        <f t="shared" si="454"/>
        <v>0</v>
      </c>
      <c r="W647" s="28">
        <v>136</v>
      </c>
      <c r="X647" s="105">
        <v>1.49</v>
      </c>
      <c r="Y647" s="105">
        <v>9.9600000000000009</v>
      </c>
      <c r="Z647" s="73" t="s">
        <v>467</v>
      </c>
      <c r="AA647" s="28">
        <v>0</v>
      </c>
    </row>
    <row r="648" spans="1:27" x14ac:dyDescent="0.25">
      <c r="A648" s="4"/>
      <c r="B648" s="98" t="s">
        <v>1421</v>
      </c>
      <c r="C648" s="75" t="s">
        <v>1418</v>
      </c>
      <c r="D648" s="28" t="s">
        <v>617</v>
      </c>
      <c r="E648" s="28">
        <f t="shared" si="461"/>
        <v>92110</v>
      </c>
      <c r="F648" s="143" t="str">
        <f>INDEX(PV_Summary!$B$18:$B$118,MATCH($E648,PV_Summary!$A$18:$A$118,0))</f>
        <v>S</v>
      </c>
      <c r="G648" s="123">
        <v>32.752307999999999</v>
      </c>
      <c r="H648" s="61">
        <v>-117.21777899999999</v>
      </c>
      <c r="I648" s="44" t="s">
        <v>37</v>
      </c>
      <c r="J648" s="46">
        <f t="shared" si="458"/>
        <v>0.75</v>
      </c>
      <c r="K648" s="100"/>
      <c r="L648" s="44" t="str">
        <f t="shared" si="459"/>
        <v/>
      </c>
      <c r="M648" s="46">
        <f t="shared" si="460"/>
        <v>0.75</v>
      </c>
      <c r="N648" s="46"/>
      <c r="O648" s="41">
        <f t="shared" si="409"/>
        <v>0</v>
      </c>
      <c r="P648" s="42">
        <v>19000</v>
      </c>
      <c r="Q648" s="44" t="s">
        <v>37</v>
      </c>
      <c r="R648" s="28" t="s">
        <v>55</v>
      </c>
      <c r="S648" s="48">
        <f t="shared" si="442"/>
        <v>133000</v>
      </c>
      <c r="T648" s="48">
        <f t="shared" si="454"/>
        <v>0</v>
      </c>
      <c r="W648" s="28">
        <v>136</v>
      </c>
      <c r="X648" s="105">
        <v>1.49</v>
      </c>
      <c r="Y648" s="105">
        <v>9.9600000000000009</v>
      </c>
      <c r="Z648" s="73" t="s">
        <v>467</v>
      </c>
      <c r="AA648" s="28">
        <v>100</v>
      </c>
    </row>
    <row r="649" spans="1:27" x14ac:dyDescent="0.25">
      <c r="A649" s="4"/>
      <c r="B649" s="62" t="s">
        <v>666</v>
      </c>
      <c r="C649" s="75" t="s">
        <v>667</v>
      </c>
      <c r="D649" s="28" t="s">
        <v>617</v>
      </c>
      <c r="E649" s="28">
        <f t="shared" si="250"/>
        <v>92110</v>
      </c>
      <c r="F649" s="143" t="str">
        <f>INDEX(PV_Summary!$B$18:$B$118,MATCH($E649,PV_Summary!$A$18:$A$118,0))</f>
        <v>S</v>
      </c>
      <c r="G649" s="123">
        <v>32.746865999999997</v>
      </c>
      <c r="H649" s="61">
        <v>-117.19990300000001</v>
      </c>
      <c r="I649" s="44" t="s">
        <v>3</v>
      </c>
      <c r="J649" s="46">
        <f t="shared" ca="1" si="458"/>
        <v>1</v>
      </c>
      <c r="K649" s="100"/>
      <c r="L649" s="44" t="str">
        <f t="shared" ca="1" si="459"/>
        <v/>
      </c>
      <c r="M649" s="46">
        <f t="shared" ca="1" si="460"/>
        <v>1</v>
      </c>
      <c r="N649" s="46"/>
      <c r="O649" s="41">
        <f t="shared" ca="1" si="409"/>
        <v>1</v>
      </c>
      <c r="P649" s="42">
        <v>314000</v>
      </c>
      <c r="Q649" s="44" t="s">
        <v>3</v>
      </c>
      <c r="R649" s="28" t="s">
        <v>55</v>
      </c>
      <c r="S649" s="48">
        <f t="shared" si="442"/>
        <v>2198000</v>
      </c>
      <c r="T649" s="48">
        <f t="shared" ca="1" si="454"/>
        <v>2198000</v>
      </c>
      <c r="W649" s="28">
        <v>491</v>
      </c>
      <c r="X649" s="105">
        <v>1.5</v>
      </c>
      <c r="Y649" s="105">
        <v>9.98</v>
      </c>
      <c r="Z649" s="73" t="s">
        <v>467</v>
      </c>
      <c r="AA649" s="28">
        <v>150</v>
      </c>
    </row>
    <row r="650" spans="1:27" x14ac:dyDescent="0.25">
      <c r="A650" s="4"/>
      <c r="B650" s="28" t="s">
        <v>592</v>
      </c>
      <c r="C650" s="75" t="s">
        <v>593</v>
      </c>
      <c r="D650" s="28" t="s">
        <v>594</v>
      </c>
      <c r="E650" s="28">
        <f t="shared" si="250"/>
        <v>92106</v>
      </c>
      <c r="F650" s="143" t="str">
        <f>INDEX(PV_Summary!$B$18:$B$118,MATCH($E650,PV_Summary!$A$18:$A$118,0))</f>
        <v>S</v>
      </c>
      <c r="G650" s="123">
        <v>32.736705999999998</v>
      </c>
      <c r="H650" s="61">
        <v>-117.215613</v>
      </c>
      <c r="I650" s="44" t="s">
        <v>62</v>
      </c>
      <c r="J650" s="46">
        <f t="shared" ca="1" si="455"/>
        <v>1.5</v>
      </c>
      <c r="K650" s="100"/>
      <c r="L650" s="44" t="str">
        <f t="shared" ca="1" si="456"/>
        <v>Total</v>
      </c>
      <c r="M650" s="46">
        <f t="shared" ca="1" si="457"/>
        <v>1.25</v>
      </c>
      <c r="N650" s="46"/>
      <c r="O650" s="41">
        <f t="shared" ca="1" si="409"/>
        <v>4</v>
      </c>
      <c r="Q650" s="44"/>
      <c r="S650" s="48">
        <f t="shared" si="442"/>
        <v>0</v>
      </c>
      <c r="T650" s="48">
        <f t="shared" ca="1" si="454"/>
        <v>5306000</v>
      </c>
      <c r="W650" s="28">
        <v>50</v>
      </c>
      <c r="X650" s="105">
        <v>1.44</v>
      </c>
      <c r="Y650" s="105">
        <v>9.6199999999999992</v>
      </c>
      <c r="Z650" s="73" t="s">
        <v>494</v>
      </c>
      <c r="AA650" s="28">
        <v>0</v>
      </c>
    </row>
    <row r="651" spans="1:27" x14ac:dyDescent="0.25">
      <c r="A651" s="4"/>
      <c r="B651" s="98" t="s">
        <v>595</v>
      </c>
      <c r="C651" s="75" t="s">
        <v>593</v>
      </c>
      <c r="D651" s="28" t="s">
        <v>594</v>
      </c>
      <c r="E651" s="28">
        <f t="shared" si="250"/>
        <v>92106</v>
      </c>
      <c r="F651" s="143" t="str">
        <f>INDEX(PV_Summary!$B$18:$B$118,MATCH($E651,PV_Summary!$A$18:$A$118,0))</f>
        <v>S</v>
      </c>
      <c r="G651" s="123">
        <v>32.737530999999997</v>
      </c>
      <c r="H651" s="61">
        <v>-117.21697399999999</v>
      </c>
      <c r="I651" s="44" t="s">
        <v>3</v>
      </c>
      <c r="J651" s="46">
        <f t="shared" si="455"/>
        <v>0.75</v>
      </c>
      <c r="K651" s="100"/>
      <c r="L651" s="44" t="str">
        <f t="shared" si="456"/>
        <v/>
      </c>
      <c r="M651" s="46">
        <f t="shared" si="457"/>
        <v>0.75</v>
      </c>
      <c r="N651" s="46"/>
      <c r="O651" s="41">
        <f t="shared" si="409"/>
        <v>0</v>
      </c>
      <c r="P651" s="42">
        <v>360000</v>
      </c>
      <c r="Q651" s="44" t="s">
        <v>3</v>
      </c>
      <c r="R651" s="28" t="s">
        <v>55</v>
      </c>
      <c r="S651" s="48">
        <f t="shared" si="442"/>
        <v>2520000</v>
      </c>
      <c r="T651" s="48">
        <f t="shared" si="454"/>
        <v>0</v>
      </c>
      <c r="W651" s="28">
        <v>50</v>
      </c>
      <c r="X651" s="105">
        <v>1.44</v>
      </c>
      <c r="Y651" s="105">
        <v>9.6199999999999992</v>
      </c>
      <c r="Z651" s="73" t="s">
        <v>494</v>
      </c>
      <c r="AA651" s="28">
        <v>0</v>
      </c>
    </row>
    <row r="652" spans="1:27" x14ac:dyDescent="0.25">
      <c r="A652"/>
      <c r="B652" s="98" t="s">
        <v>596</v>
      </c>
      <c r="C652" s="75" t="s">
        <v>593</v>
      </c>
      <c r="D652" s="28" t="s">
        <v>594</v>
      </c>
      <c r="E652" s="28">
        <f t="shared" si="250"/>
        <v>92106</v>
      </c>
      <c r="F652" s="143" t="str">
        <f>INDEX(PV_Summary!$B$18:$B$118,MATCH($E652,PV_Summary!$A$18:$A$118,0))</f>
        <v>S</v>
      </c>
      <c r="G652" s="123">
        <v>32.735537999999998</v>
      </c>
      <c r="H652" s="61">
        <v>-117.214529</v>
      </c>
      <c r="I652" s="44" t="s">
        <v>3</v>
      </c>
      <c r="J652" s="46">
        <f t="shared" si="455"/>
        <v>0.75</v>
      </c>
      <c r="K652" s="100"/>
      <c r="L652" s="44" t="str">
        <f t="shared" si="456"/>
        <v/>
      </c>
      <c r="M652" s="46">
        <f t="shared" si="457"/>
        <v>0.75</v>
      </c>
      <c r="N652" s="46"/>
      <c r="O652" s="41">
        <f t="shared" si="409"/>
        <v>0</v>
      </c>
      <c r="P652" s="42">
        <v>234000</v>
      </c>
      <c r="Q652" s="44" t="s">
        <v>3</v>
      </c>
      <c r="R652" s="102" t="s">
        <v>55</v>
      </c>
      <c r="S652" s="48">
        <f t="shared" si="442"/>
        <v>1638000</v>
      </c>
      <c r="T652" s="48">
        <f t="shared" si="454"/>
        <v>0</v>
      </c>
      <c r="W652" s="28">
        <v>50</v>
      </c>
      <c r="X652" s="105">
        <v>1.44</v>
      </c>
      <c r="Y652" s="105">
        <v>9.6199999999999992</v>
      </c>
      <c r="Z652" s="73" t="s">
        <v>494</v>
      </c>
      <c r="AA652" s="28">
        <v>0</v>
      </c>
    </row>
    <row r="653" spans="1:27" x14ac:dyDescent="0.25">
      <c r="A653"/>
      <c r="B653" s="98" t="s">
        <v>597</v>
      </c>
      <c r="C653" s="75" t="s">
        <v>593</v>
      </c>
      <c r="D653" s="28" t="s">
        <v>594</v>
      </c>
      <c r="E653" s="28">
        <f t="shared" si="250"/>
        <v>92106</v>
      </c>
      <c r="F653" s="143" t="str">
        <f>INDEX(PV_Summary!$B$18:$B$118,MATCH($E653,PV_Summary!$A$18:$A$118,0))</f>
        <v>S</v>
      </c>
      <c r="G653" s="123">
        <v>32.738633</v>
      </c>
      <c r="H653" s="61">
        <v>-117.211275</v>
      </c>
      <c r="I653" s="44" t="s">
        <v>3</v>
      </c>
      <c r="J653" s="46">
        <f t="shared" si="455"/>
        <v>0.75</v>
      </c>
      <c r="K653" s="100"/>
      <c r="L653" s="44" t="str">
        <f t="shared" si="456"/>
        <v/>
      </c>
      <c r="M653" s="46">
        <f t="shared" si="457"/>
        <v>0.75</v>
      </c>
      <c r="N653" s="46"/>
      <c r="O653" s="41">
        <f t="shared" si="409"/>
        <v>0</v>
      </c>
      <c r="P653" s="42">
        <v>164000</v>
      </c>
      <c r="Q653" s="44" t="s">
        <v>3</v>
      </c>
      <c r="R653" s="28" t="s">
        <v>55</v>
      </c>
      <c r="S653" s="48">
        <f t="shared" si="442"/>
        <v>1148000</v>
      </c>
      <c r="T653" s="48">
        <f t="shared" si="454"/>
        <v>0</v>
      </c>
      <c r="W653" s="28">
        <v>50</v>
      </c>
      <c r="X653" s="105">
        <v>1.44</v>
      </c>
      <c r="Y653" s="105">
        <v>9.6199999999999992</v>
      </c>
      <c r="Z653" s="73" t="s">
        <v>494</v>
      </c>
      <c r="AA653" s="28">
        <v>0</v>
      </c>
    </row>
    <row r="654" spans="1:27" x14ac:dyDescent="0.25">
      <c r="A654"/>
      <c r="B654" s="28" t="s">
        <v>572</v>
      </c>
      <c r="C654" s="75" t="s">
        <v>573</v>
      </c>
      <c r="D654" s="28" t="s">
        <v>574</v>
      </c>
      <c r="E654" s="28">
        <f t="shared" si="250"/>
        <v>92101</v>
      </c>
      <c r="F654" s="143" t="str">
        <f>INDEX(PV_Summary!$B$18:$B$118,MATCH($E654,PV_Summary!$A$18:$A$118,0))</f>
        <v>S</v>
      </c>
      <c r="G654" s="123">
        <v>32.733356999999998</v>
      </c>
      <c r="H654" s="61">
        <v>-117.189132</v>
      </c>
      <c r="I654" s="44" t="s">
        <v>76</v>
      </c>
      <c r="J654" s="46">
        <f t="shared" ref="J654:J672" ca="1" si="462">IF(O654&gt;1,Sym_Scl_Aggr_Parent,IF(O654&lt;1,Sym_Scl_Aggr_Child,Sym_Scl_Normal))</f>
        <v>1.5</v>
      </c>
      <c r="K654" s="100"/>
      <c r="L654" s="44" t="str">
        <f t="shared" ref="L654:L670" ca="1" si="463">IF(O654&gt;1,"Total","")</f>
        <v>Total</v>
      </c>
      <c r="M654" s="46">
        <f t="shared" ref="M654:M670" ca="1" si="464">IF(O654&gt;1,Label_Scl_Aggr_Parent,IF(O654&lt;1,Label_Scl_Aggr_Child,Label_Scl_Normal))</f>
        <v>1.25</v>
      </c>
      <c r="N654" s="46"/>
      <c r="O654" s="41">
        <f t="shared" ca="1" si="409"/>
        <v>19</v>
      </c>
      <c r="Q654" s="44"/>
      <c r="S654" s="48">
        <f t="shared" ref="S654:S694" si="465">IF(ISNUMBER(FIND("Existing",$Q654)),0,IF($P654=0,0,INDEX(PV_W_Type_Rating_Tbl,MATCH($Q654,PV_Type_List,0),MATCH($R654,Rating_List,0)+4*DC_AC_Num)*$P654))</f>
        <v>0</v>
      </c>
      <c r="T654" s="48">
        <f t="shared" ca="1" si="454"/>
        <v>20916000</v>
      </c>
      <c r="W654" s="28" t="s">
        <v>604</v>
      </c>
      <c r="X654" s="105"/>
      <c r="Y654" s="105"/>
      <c r="Z654" s="73" t="s">
        <v>598</v>
      </c>
      <c r="AA654" s="28"/>
    </row>
    <row r="655" spans="1:27" x14ac:dyDescent="0.25">
      <c r="A655" s="4"/>
      <c r="B655" s="98" t="s">
        <v>575</v>
      </c>
      <c r="C655" s="75" t="s">
        <v>573</v>
      </c>
      <c r="D655" s="28" t="s">
        <v>574</v>
      </c>
      <c r="E655" s="28">
        <f t="shared" si="250"/>
        <v>92101</v>
      </c>
      <c r="F655" s="143" t="str">
        <f>INDEX(PV_Summary!$B$18:$B$118,MATCH($E655,PV_Summary!$A$18:$A$118,0))</f>
        <v>S</v>
      </c>
      <c r="G655" s="123">
        <v>32.741655000000002</v>
      </c>
      <c r="H655" s="61">
        <v>-117.188434</v>
      </c>
      <c r="I655" s="44" t="s">
        <v>210</v>
      </c>
      <c r="J655" s="46">
        <f t="shared" si="462"/>
        <v>0.75</v>
      </c>
      <c r="K655" s="100" t="s">
        <v>157</v>
      </c>
      <c r="L655" s="44" t="str">
        <f t="shared" si="463"/>
        <v/>
      </c>
      <c r="M655" s="46">
        <f t="shared" si="464"/>
        <v>0.75</v>
      </c>
      <c r="N655" s="46"/>
      <c r="O655" s="41">
        <f t="shared" si="409"/>
        <v>0</v>
      </c>
      <c r="Q655" s="44" t="s">
        <v>172</v>
      </c>
      <c r="S655" s="48">
        <f t="shared" si="465"/>
        <v>0</v>
      </c>
      <c r="T655" s="48">
        <f t="shared" si="454"/>
        <v>0</v>
      </c>
      <c r="W655" s="28"/>
      <c r="X655" s="105"/>
      <c r="Y655" s="105"/>
      <c r="Z655" s="73" t="s">
        <v>598</v>
      </c>
      <c r="AA655" s="28" t="s">
        <v>748</v>
      </c>
    </row>
    <row r="656" spans="1:27" x14ac:dyDescent="0.25">
      <c r="A656"/>
      <c r="B656" s="98" t="s">
        <v>576</v>
      </c>
      <c r="C656" s="75" t="s">
        <v>573</v>
      </c>
      <c r="D656" s="28" t="s">
        <v>574</v>
      </c>
      <c r="E656" s="28">
        <f t="shared" si="250"/>
        <v>92101</v>
      </c>
      <c r="F656" s="143" t="str">
        <f>INDEX(PV_Summary!$B$18:$B$118,MATCH($E656,PV_Summary!$A$18:$A$118,0))</f>
        <v>S</v>
      </c>
      <c r="G656" s="123">
        <v>32.738700999999999</v>
      </c>
      <c r="H656" s="61">
        <v>-117.184425</v>
      </c>
      <c r="I656" s="44" t="s">
        <v>210</v>
      </c>
      <c r="J656" s="46">
        <f t="shared" si="462"/>
        <v>0.75</v>
      </c>
      <c r="K656" s="100" t="s">
        <v>157</v>
      </c>
      <c r="L656" s="44" t="str">
        <f t="shared" si="463"/>
        <v/>
      </c>
      <c r="M656" s="46">
        <f t="shared" si="464"/>
        <v>0.75</v>
      </c>
      <c r="N656" s="46"/>
      <c r="O656" s="41">
        <f t="shared" si="409"/>
        <v>0</v>
      </c>
      <c r="Q656" s="44" t="s">
        <v>172</v>
      </c>
      <c r="S656" s="48">
        <f t="shared" si="465"/>
        <v>0</v>
      </c>
      <c r="T656" s="48">
        <f t="shared" si="454"/>
        <v>0</v>
      </c>
      <c r="W656" s="28"/>
      <c r="X656" s="105"/>
      <c r="Y656" s="105"/>
      <c r="Z656" s="73" t="s">
        <v>598</v>
      </c>
      <c r="AA656" s="28" t="s">
        <v>748</v>
      </c>
    </row>
    <row r="657" spans="1:27" x14ac:dyDescent="0.25">
      <c r="A657"/>
      <c r="B657" s="98" t="s">
        <v>577</v>
      </c>
      <c r="C657" s="75" t="s">
        <v>573</v>
      </c>
      <c r="D657" s="28" t="s">
        <v>574</v>
      </c>
      <c r="E657" s="28">
        <f t="shared" si="250"/>
        <v>92101</v>
      </c>
      <c r="F657" s="143" t="str">
        <f>INDEX(PV_Summary!$B$18:$B$118,MATCH($E657,PV_Summary!$A$18:$A$118,0))</f>
        <v>S</v>
      </c>
      <c r="G657" s="123">
        <v>32.738053999999998</v>
      </c>
      <c r="H657" s="61">
        <v>-117.183288</v>
      </c>
      <c r="I657" s="44" t="s">
        <v>3</v>
      </c>
      <c r="J657" s="46">
        <f t="shared" si="462"/>
        <v>0.75</v>
      </c>
      <c r="K657" s="100"/>
      <c r="L657" s="44" t="str">
        <f t="shared" si="463"/>
        <v/>
      </c>
      <c r="M657" s="46">
        <f t="shared" si="464"/>
        <v>0.75</v>
      </c>
      <c r="N657" s="46"/>
      <c r="O657" s="41">
        <f t="shared" si="409"/>
        <v>0</v>
      </c>
      <c r="P657" s="42">
        <v>247000</v>
      </c>
      <c r="Q657" s="44" t="s">
        <v>3</v>
      </c>
      <c r="R657" s="28" t="s">
        <v>55</v>
      </c>
      <c r="S657" s="48">
        <f t="shared" si="465"/>
        <v>1729000</v>
      </c>
      <c r="T657" s="48">
        <f t="shared" si="454"/>
        <v>0</v>
      </c>
      <c r="W657" s="28">
        <v>458</v>
      </c>
      <c r="X657" s="105">
        <v>1.4</v>
      </c>
      <c r="Y657" s="105">
        <v>9.33</v>
      </c>
      <c r="Z657" s="73" t="s">
        <v>598</v>
      </c>
      <c r="AA657" s="28">
        <v>250</v>
      </c>
    </row>
    <row r="658" spans="1:27" x14ac:dyDescent="0.25">
      <c r="A658"/>
      <c r="B658" s="98" t="s">
        <v>578</v>
      </c>
      <c r="C658" s="75" t="s">
        <v>573</v>
      </c>
      <c r="D658" s="28" t="s">
        <v>574</v>
      </c>
      <c r="E658" s="28">
        <f t="shared" si="250"/>
        <v>92101</v>
      </c>
      <c r="F658" s="143" t="str">
        <f>INDEX(PV_Summary!$B$18:$B$118,MATCH($E658,PV_Summary!$A$18:$A$118,0))</f>
        <v>S</v>
      </c>
      <c r="G658" s="123">
        <v>32.736666</v>
      </c>
      <c r="H658" s="61">
        <v>-117.18259500000001</v>
      </c>
      <c r="I658" s="44" t="s">
        <v>3</v>
      </c>
      <c r="J658" s="46">
        <f t="shared" si="462"/>
        <v>0.75</v>
      </c>
      <c r="K658" s="100"/>
      <c r="L658" s="44" t="str">
        <f t="shared" si="463"/>
        <v/>
      </c>
      <c r="M658" s="46">
        <f t="shared" si="464"/>
        <v>0.75</v>
      </c>
      <c r="N658" s="46"/>
      <c r="O658" s="41">
        <f t="shared" si="409"/>
        <v>0</v>
      </c>
      <c r="P658" s="42">
        <v>63000</v>
      </c>
      <c r="Q658" s="44" t="s">
        <v>3</v>
      </c>
      <c r="R658" s="28" t="s">
        <v>55</v>
      </c>
      <c r="S658" s="48">
        <f t="shared" si="465"/>
        <v>441000</v>
      </c>
      <c r="T658" s="48">
        <f t="shared" si="454"/>
        <v>0</v>
      </c>
      <c r="W658" s="28">
        <v>458</v>
      </c>
      <c r="X658" s="105">
        <v>1.4</v>
      </c>
      <c r="Y658" s="105">
        <v>9.33</v>
      </c>
      <c r="Z658" s="73" t="s">
        <v>598</v>
      </c>
      <c r="AA658" s="28">
        <v>250</v>
      </c>
    </row>
    <row r="659" spans="1:27" x14ac:dyDescent="0.25">
      <c r="A659"/>
      <c r="B659" s="98" t="s">
        <v>579</v>
      </c>
      <c r="C659" s="75" t="s">
        <v>573</v>
      </c>
      <c r="D659" s="28" t="s">
        <v>574</v>
      </c>
      <c r="E659" s="28">
        <f t="shared" si="250"/>
        <v>92101</v>
      </c>
      <c r="F659" s="143" t="str">
        <f>INDEX(PV_Summary!$B$18:$B$118,MATCH($E659,PV_Summary!$A$18:$A$118,0))</f>
        <v>S</v>
      </c>
      <c r="G659" s="123">
        <v>32.737155999999999</v>
      </c>
      <c r="H659" s="61">
        <v>-117.181012</v>
      </c>
      <c r="I659" s="44" t="s">
        <v>36</v>
      </c>
      <c r="J659" s="46">
        <f t="shared" si="462"/>
        <v>0.75</v>
      </c>
      <c r="K659" s="100"/>
      <c r="L659" s="44" t="str">
        <f t="shared" si="463"/>
        <v/>
      </c>
      <c r="M659" s="46">
        <f t="shared" si="464"/>
        <v>0.75</v>
      </c>
      <c r="N659" s="46"/>
      <c r="O659" s="41">
        <f t="shared" ref="O659:O746" si="466">IF($C659=$C658,0,COUNTIFS(Address,$C659))</f>
        <v>0</v>
      </c>
      <c r="P659" s="42">
        <f>82000 + N("NW") + 120000 + N("Mid") + 126000 + N("SE")</f>
        <v>328000</v>
      </c>
      <c r="Q659" s="44" t="s">
        <v>36</v>
      </c>
      <c r="R659" s="28" t="s">
        <v>55</v>
      </c>
      <c r="S659" s="48">
        <f t="shared" si="465"/>
        <v>2296000</v>
      </c>
      <c r="T659" s="48">
        <f t="shared" si="454"/>
        <v>0</v>
      </c>
      <c r="W659" s="28">
        <v>135</v>
      </c>
      <c r="X659" s="105">
        <v>1.41</v>
      </c>
      <c r="Y659" s="105">
        <v>9.4</v>
      </c>
      <c r="Z659" s="73" t="s">
        <v>598</v>
      </c>
      <c r="AA659" s="28">
        <v>250</v>
      </c>
    </row>
    <row r="660" spans="1:27" x14ac:dyDescent="0.25">
      <c r="A660"/>
      <c r="B660" s="98" t="s">
        <v>580</v>
      </c>
      <c r="C660" s="75" t="s">
        <v>573</v>
      </c>
      <c r="D660" s="28" t="s">
        <v>574</v>
      </c>
      <c r="E660" s="28">
        <f t="shared" si="250"/>
        <v>92101</v>
      </c>
      <c r="F660" s="143" t="str">
        <f>INDEX(PV_Summary!$B$18:$B$118,MATCH($E660,PV_Summary!$A$18:$A$118,0))</f>
        <v>S</v>
      </c>
      <c r="G660" s="123">
        <v>32.731074999999997</v>
      </c>
      <c r="H660" s="61">
        <v>-117.172892</v>
      </c>
      <c r="I660" s="44" t="s">
        <v>36</v>
      </c>
      <c r="J660" s="46">
        <f t="shared" si="462"/>
        <v>0.75</v>
      </c>
      <c r="K660" s="100"/>
      <c r="L660" s="44" t="str">
        <f t="shared" si="463"/>
        <v/>
      </c>
      <c r="M660" s="46">
        <f t="shared" si="464"/>
        <v>0.75</v>
      </c>
      <c r="N660" s="46"/>
      <c r="O660" s="41">
        <f t="shared" si="466"/>
        <v>0</v>
      </c>
      <c r="P660" s="42">
        <v>120000</v>
      </c>
      <c r="Q660" s="44" t="s">
        <v>36</v>
      </c>
      <c r="R660" s="28" t="s">
        <v>55</v>
      </c>
      <c r="S660" s="48">
        <f t="shared" si="465"/>
        <v>840000</v>
      </c>
      <c r="T660" s="48">
        <f t="shared" si="454"/>
        <v>0</v>
      </c>
      <c r="W660" s="28">
        <v>135</v>
      </c>
      <c r="X660" s="105">
        <v>1.41</v>
      </c>
      <c r="Y660" s="105">
        <v>9.4</v>
      </c>
      <c r="Z660" s="73" t="s">
        <v>598</v>
      </c>
      <c r="AA660" s="28">
        <v>100</v>
      </c>
    </row>
    <row r="661" spans="1:27" x14ac:dyDescent="0.25">
      <c r="A661"/>
      <c r="B661" s="98" t="s">
        <v>581</v>
      </c>
      <c r="C661" s="75" t="s">
        <v>573</v>
      </c>
      <c r="D661" s="28" t="s">
        <v>574</v>
      </c>
      <c r="E661" s="28">
        <f t="shared" si="250"/>
        <v>92101</v>
      </c>
      <c r="F661" s="143" t="str">
        <f>INDEX(PV_Summary!$B$18:$B$118,MATCH($E661,PV_Summary!$A$18:$A$118,0))</f>
        <v>S</v>
      </c>
      <c r="G661" s="123">
        <v>32.731183000000001</v>
      </c>
      <c r="H661" s="61">
        <v>-117.174142</v>
      </c>
      <c r="I661" s="76" t="s">
        <v>3</v>
      </c>
      <c r="J661" s="46">
        <f t="shared" si="462"/>
        <v>0.75</v>
      </c>
      <c r="K661" s="100"/>
      <c r="L661" s="44" t="str">
        <f t="shared" si="463"/>
        <v/>
      </c>
      <c r="M661" s="46">
        <f t="shared" si="464"/>
        <v>0.75</v>
      </c>
      <c r="N661" s="46"/>
      <c r="O661" s="41">
        <f t="shared" si="466"/>
        <v>0</v>
      </c>
      <c r="P661" s="42">
        <v>96000</v>
      </c>
      <c r="Q661" s="44" t="s">
        <v>3</v>
      </c>
      <c r="R661" s="28" t="s">
        <v>55</v>
      </c>
      <c r="S661" s="48">
        <f t="shared" si="465"/>
        <v>672000</v>
      </c>
      <c r="T661" s="48">
        <f t="shared" si="454"/>
        <v>0</v>
      </c>
      <c r="U661" s="77"/>
      <c r="V661" s="168"/>
      <c r="W661" s="28">
        <v>135</v>
      </c>
      <c r="X661" s="105">
        <v>1.41</v>
      </c>
      <c r="Y661" s="105">
        <v>9.4</v>
      </c>
      <c r="Z661" s="73" t="s">
        <v>598</v>
      </c>
      <c r="AA661" s="28">
        <v>100</v>
      </c>
    </row>
    <row r="662" spans="1:27" x14ac:dyDescent="0.25">
      <c r="A662"/>
      <c r="B662" s="98" t="s">
        <v>583</v>
      </c>
      <c r="C662" s="75" t="s">
        <v>573</v>
      </c>
      <c r="D662" s="28" t="s">
        <v>574</v>
      </c>
      <c r="E662" s="28">
        <f t="shared" si="250"/>
        <v>92101</v>
      </c>
      <c r="F662" s="143" t="str">
        <f>INDEX(PV_Summary!$B$18:$B$118,MATCH($E662,PV_Summary!$A$18:$A$118,0))</f>
        <v>S</v>
      </c>
      <c r="G662" s="123">
        <v>32.730955999999999</v>
      </c>
      <c r="H662" s="61">
        <v>-117.17466899999999</v>
      </c>
      <c r="I662" s="76" t="s">
        <v>3</v>
      </c>
      <c r="J662" s="46">
        <f t="shared" si="462"/>
        <v>0.75</v>
      </c>
      <c r="K662" s="100"/>
      <c r="L662" s="44" t="str">
        <f t="shared" si="463"/>
        <v/>
      </c>
      <c r="M662" s="46">
        <f t="shared" si="464"/>
        <v>0.75</v>
      </c>
      <c r="N662" s="46"/>
      <c r="O662" s="41">
        <f t="shared" si="466"/>
        <v>0</v>
      </c>
      <c r="P662" s="42">
        <v>80000</v>
      </c>
      <c r="Q662" s="44" t="s">
        <v>3</v>
      </c>
      <c r="R662" s="28" t="s">
        <v>55</v>
      </c>
      <c r="S662" s="48">
        <f t="shared" si="465"/>
        <v>560000</v>
      </c>
      <c r="T662" s="48">
        <f t="shared" si="454"/>
        <v>0</v>
      </c>
      <c r="U662" s="77"/>
      <c r="V662" s="168"/>
      <c r="W662" s="28">
        <v>135</v>
      </c>
      <c r="X662" s="105">
        <v>1.41</v>
      </c>
      <c r="Y662" s="105">
        <v>9.4</v>
      </c>
      <c r="Z662" s="73" t="s">
        <v>598</v>
      </c>
      <c r="AA662" s="28">
        <v>100</v>
      </c>
    </row>
    <row r="663" spans="1:27" x14ac:dyDescent="0.25">
      <c r="A663"/>
      <c r="B663" s="98" t="s">
        <v>582</v>
      </c>
      <c r="C663" s="75" t="s">
        <v>573</v>
      </c>
      <c r="D663" s="28" t="s">
        <v>574</v>
      </c>
      <c r="E663" s="28">
        <f t="shared" si="250"/>
        <v>92101</v>
      </c>
      <c r="F663" s="143" t="str">
        <f>INDEX(PV_Summary!$B$18:$B$118,MATCH($E663,PV_Summary!$A$18:$A$118,0))</f>
        <v>S</v>
      </c>
      <c r="G663" s="123">
        <v>32.728589999999997</v>
      </c>
      <c r="H663" s="61">
        <v>-117.17711799999999</v>
      </c>
      <c r="I663" s="44" t="s">
        <v>3</v>
      </c>
      <c r="J663" s="46">
        <f t="shared" si="462"/>
        <v>0.75</v>
      </c>
      <c r="K663" s="100"/>
      <c r="L663" s="44" t="str">
        <f t="shared" si="463"/>
        <v/>
      </c>
      <c r="M663" s="46">
        <f t="shared" si="464"/>
        <v>0.75</v>
      </c>
      <c r="N663" s="46"/>
      <c r="O663" s="41">
        <f t="shared" si="466"/>
        <v>0</v>
      </c>
      <c r="P663" s="42">
        <v>140000</v>
      </c>
      <c r="Q663" s="44" t="s">
        <v>3</v>
      </c>
      <c r="R663" s="28" t="s">
        <v>55</v>
      </c>
      <c r="S663" s="48">
        <f t="shared" si="465"/>
        <v>980000</v>
      </c>
      <c r="T663" s="48">
        <f t="shared" si="454"/>
        <v>0</v>
      </c>
      <c r="W663" s="28">
        <v>135</v>
      </c>
      <c r="X663" s="105">
        <v>1.41</v>
      </c>
      <c r="Y663" s="105">
        <v>9.4</v>
      </c>
      <c r="Z663" s="73" t="s">
        <v>598</v>
      </c>
      <c r="AA663" s="28">
        <v>100</v>
      </c>
    </row>
    <row r="664" spans="1:27" x14ac:dyDescent="0.25">
      <c r="A664"/>
      <c r="B664" s="98" t="s">
        <v>584</v>
      </c>
      <c r="C664" s="75" t="s">
        <v>573</v>
      </c>
      <c r="D664" s="28" t="s">
        <v>574</v>
      </c>
      <c r="E664" s="28">
        <f t="shared" si="250"/>
        <v>92101</v>
      </c>
      <c r="F664" s="143" t="str">
        <f>INDEX(PV_Summary!$B$18:$B$118,MATCH($E664,PV_Summary!$A$18:$A$118,0))</f>
        <v>S</v>
      </c>
      <c r="G664" s="123">
        <v>32.728627000000003</v>
      </c>
      <c r="H664" s="61">
        <v>-117.18277999999999</v>
      </c>
      <c r="I664" s="44" t="s">
        <v>3</v>
      </c>
      <c r="J664" s="46">
        <f t="shared" si="462"/>
        <v>0.75</v>
      </c>
      <c r="K664" s="100"/>
      <c r="L664" s="44" t="str">
        <f t="shared" si="463"/>
        <v/>
      </c>
      <c r="M664" s="46">
        <f t="shared" si="464"/>
        <v>0.75</v>
      </c>
      <c r="N664" s="46"/>
      <c r="O664" s="41">
        <f t="shared" si="466"/>
        <v>0</v>
      </c>
      <c r="P664" s="42">
        <v>94000</v>
      </c>
      <c r="Q664" s="44" t="s">
        <v>3</v>
      </c>
      <c r="R664" s="28" t="s">
        <v>55</v>
      </c>
      <c r="S664" s="48">
        <f t="shared" si="465"/>
        <v>658000</v>
      </c>
      <c r="T664" s="48">
        <f t="shared" si="454"/>
        <v>0</v>
      </c>
      <c r="W664" s="28">
        <v>134</v>
      </c>
      <c r="X664" s="105">
        <v>1.5</v>
      </c>
      <c r="Y664" s="105">
        <v>10</v>
      </c>
      <c r="Z664" s="73" t="s">
        <v>598</v>
      </c>
      <c r="AA664" s="28">
        <v>100</v>
      </c>
    </row>
    <row r="665" spans="1:27" x14ac:dyDescent="0.25">
      <c r="A665"/>
      <c r="B665" s="98" t="s">
        <v>585</v>
      </c>
      <c r="C665" s="75" t="s">
        <v>573</v>
      </c>
      <c r="D665" s="28" t="s">
        <v>574</v>
      </c>
      <c r="E665" s="28">
        <f t="shared" si="250"/>
        <v>92101</v>
      </c>
      <c r="F665" s="143" t="str">
        <f>INDEX(PV_Summary!$B$18:$B$118,MATCH($E665,PV_Summary!$A$18:$A$118,0))</f>
        <v>S</v>
      </c>
      <c r="G665" s="123">
        <v>32.729925999999999</v>
      </c>
      <c r="H665" s="61">
        <v>-117.188593</v>
      </c>
      <c r="I665" s="44" t="s">
        <v>3</v>
      </c>
      <c r="J665" s="46">
        <f t="shared" si="462"/>
        <v>0.75</v>
      </c>
      <c r="K665" s="100"/>
      <c r="L665" s="44" t="str">
        <f t="shared" si="463"/>
        <v/>
      </c>
      <c r="M665" s="46">
        <f t="shared" si="464"/>
        <v>0.75</v>
      </c>
      <c r="N665" s="46"/>
      <c r="O665" s="41">
        <f t="shared" si="466"/>
        <v>0</v>
      </c>
      <c r="P665" s="42">
        <v>500000</v>
      </c>
      <c r="Q665" s="44" t="s">
        <v>3</v>
      </c>
      <c r="R665" s="28" t="s">
        <v>55</v>
      </c>
      <c r="S665" s="48">
        <f t="shared" si="465"/>
        <v>3500000</v>
      </c>
      <c r="T665" s="48">
        <f t="shared" si="454"/>
        <v>0</v>
      </c>
      <c r="W665" s="28">
        <v>134</v>
      </c>
      <c r="X665" s="105">
        <v>1.5</v>
      </c>
      <c r="Y665" s="105">
        <v>10</v>
      </c>
      <c r="Z665" s="73" t="s">
        <v>598</v>
      </c>
      <c r="AA665" s="28">
        <v>100</v>
      </c>
    </row>
    <row r="666" spans="1:27" x14ac:dyDescent="0.25">
      <c r="A666"/>
      <c r="B666" s="98" t="s">
        <v>586</v>
      </c>
      <c r="C666" s="75" t="s">
        <v>573</v>
      </c>
      <c r="D666" s="28" t="s">
        <v>574</v>
      </c>
      <c r="E666" s="28">
        <f t="shared" si="250"/>
        <v>92101</v>
      </c>
      <c r="F666" s="143" t="str">
        <f>INDEX(PV_Summary!$B$18:$B$118,MATCH($E666,PV_Summary!$A$18:$A$118,0))</f>
        <v>S</v>
      </c>
      <c r="G666" s="123">
        <v>32.729855000000001</v>
      </c>
      <c r="H666" s="61">
        <v>-117.18576400000001</v>
      </c>
      <c r="I666" s="44" t="s">
        <v>3</v>
      </c>
      <c r="J666" s="46">
        <f t="shared" si="462"/>
        <v>0.75</v>
      </c>
      <c r="K666" s="100"/>
      <c r="L666" s="44" t="str">
        <f t="shared" si="463"/>
        <v/>
      </c>
      <c r="M666" s="46">
        <f t="shared" si="464"/>
        <v>0.75</v>
      </c>
      <c r="N666" s="46"/>
      <c r="O666" s="41">
        <f t="shared" si="466"/>
        <v>0</v>
      </c>
      <c r="P666" s="42">
        <v>675000</v>
      </c>
      <c r="Q666" s="44" t="s">
        <v>3</v>
      </c>
      <c r="R666" s="28" t="s">
        <v>55</v>
      </c>
      <c r="S666" s="48">
        <f t="shared" si="465"/>
        <v>4725000</v>
      </c>
      <c r="T666" s="48">
        <f t="shared" ref="T666:T697" si="467">SUMIF($C:$C,$C666,$S:$S)*IF($O666&gt;=1,1,0)</f>
        <v>0</v>
      </c>
      <c r="W666" s="28">
        <v>134</v>
      </c>
      <c r="X666" s="105">
        <v>1.5</v>
      </c>
      <c r="Y666" s="105">
        <v>10</v>
      </c>
      <c r="Z666" s="73" t="s">
        <v>598</v>
      </c>
      <c r="AA666" s="28">
        <v>100</v>
      </c>
    </row>
    <row r="667" spans="1:27" x14ac:dyDescent="0.25">
      <c r="A667" s="4"/>
      <c r="B667" s="98" t="s">
        <v>587</v>
      </c>
      <c r="C667" s="75" t="s">
        <v>573</v>
      </c>
      <c r="D667" s="28" t="s">
        <v>574</v>
      </c>
      <c r="E667" s="28">
        <f t="shared" si="250"/>
        <v>92101</v>
      </c>
      <c r="F667" s="143" t="str">
        <f>INDEX(PV_Summary!$B$18:$B$118,MATCH($E667,PV_Summary!$A$18:$A$118,0))</f>
        <v>S</v>
      </c>
      <c r="G667" s="123">
        <v>32.729700000000001</v>
      </c>
      <c r="H667" s="61">
        <v>-117.192055</v>
      </c>
      <c r="I667" s="44" t="s">
        <v>3</v>
      </c>
      <c r="J667" s="46">
        <f t="shared" si="462"/>
        <v>0.75</v>
      </c>
      <c r="K667" s="100"/>
      <c r="L667" s="44" t="str">
        <f t="shared" si="463"/>
        <v/>
      </c>
      <c r="M667" s="46">
        <f t="shared" si="464"/>
        <v>0.75</v>
      </c>
      <c r="N667" s="46"/>
      <c r="O667" s="41">
        <f t="shared" si="466"/>
        <v>0</v>
      </c>
      <c r="P667" s="42">
        <v>77000</v>
      </c>
      <c r="Q667" s="44" t="s">
        <v>3</v>
      </c>
      <c r="R667" s="28" t="s">
        <v>55</v>
      </c>
      <c r="S667" s="48">
        <f t="shared" si="465"/>
        <v>539000</v>
      </c>
      <c r="T667" s="48">
        <f t="shared" si="467"/>
        <v>0</v>
      </c>
      <c r="W667" s="28">
        <v>134</v>
      </c>
      <c r="X667" s="105">
        <v>1.5</v>
      </c>
      <c r="Y667" s="105">
        <v>10</v>
      </c>
      <c r="Z667" s="73" t="s">
        <v>598</v>
      </c>
      <c r="AA667" s="28">
        <v>100</v>
      </c>
    </row>
    <row r="668" spans="1:27" x14ac:dyDescent="0.25">
      <c r="A668" s="4"/>
      <c r="B668" s="98" t="s">
        <v>588</v>
      </c>
      <c r="C668" s="75" t="s">
        <v>573</v>
      </c>
      <c r="D668" s="28" t="s">
        <v>574</v>
      </c>
      <c r="E668" s="28">
        <f t="shared" si="250"/>
        <v>92101</v>
      </c>
      <c r="F668" s="143" t="str">
        <f>INDEX(PV_Summary!$B$18:$B$118,MATCH($E668,PV_Summary!$A$18:$A$118,0))</f>
        <v>S</v>
      </c>
      <c r="G668" s="123">
        <v>32.730055</v>
      </c>
      <c r="H668" s="61">
        <v>-117.194326</v>
      </c>
      <c r="I668" s="44" t="s">
        <v>3</v>
      </c>
      <c r="J668" s="46">
        <f t="shared" si="462"/>
        <v>0.75</v>
      </c>
      <c r="K668" s="100"/>
      <c r="L668" s="44" t="str">
        <f t="shared" si="463"/>
        <v/>
      </c>
      <c r="M668" s="46">
        <f t="shared" si="464"/>
        <v>0.75</v>
      </c>
      <c r="N668" s="46"/>
      <c r="O668" s="41">
        <f t="shared" si="466"/>
        <v>0</v>
      </c>
      <c r="P668" s="42">
        <v>100000</v>
      </c>
      <c r="Q668" s="44" t="s">
        <v>3</v>
      </c>
      <c r="R668" s="28" t="s">
        <v>55</v>
      </c>
      <c r="S668" s="48">
        <f t="shared" si="465"/>
        <v>700000</v>
      </c>
      <c r="T668" s="48">
        <f t="shared" si="467"/>
        <v>0</v>
      </c>
      <c r="W668" s="28">
        <v>134</v>
      </c>
      <c r="X668" s="105">
        <v>1.5</v>
      </c>
      <c r="Y668" s="105">
        <v>10</v>
      </c>
      <c r="Z668" s="73" t="s">
        <v>598</v>
      </c>
      <c r="AA668" s="28">
        <v>100</v>
      </c>
    </row>
    <row r="669" spans="1:27" x14ac:dyDescent="0.25">
      <c r="A669" s="4"/>
      <c r="B669" s="98" t="s">
        <v>589</v>
      </c>
      <c r="C669" s="75" t="s">
        <v>573</v>
      </c>
      <c r="D669" s="28" t="s">
        <v>574</v>
      </c>
      <c r="E669" s="28">
        <f t="shared" si="250"/>
        <v>92101</v>
      </c>
      <c r="F669" s="143" t="str">
        <f>INDEX(PV_Summary!$B$18:$B$118,MATCH($E669,PV_Summary!$A$18:$A$118,0))</f>
        <v>S</v>
      </c>
      <c r="G669" s="123">
        <v>32.730615</v>
      </c>
      <c r="H669" s="61">
        <v>-117.197406</v>
      </c>
      <c r="I669" s="44" t="s">
        <v>3</v>
      </c>
      <c r="J669" s="46">
        <f t="shared" si="462"/>
        <v>0.75</v>
      </c>
      <c r="K669" s="100"/>
      <c r="L669" s="44" t="str">
        <f t="shared" si="463"/>
        <v/>
      </c>
      <c r="M669" s="46">
        <f t="shared" si="464"/>
        <v>0.75</v>
      </c>
      <c r="N669" s="46"/>
      <c r="O669" s="41">
        <f t="shared" si="466"/>
        <v>0</v>
      </c>
      <c r="P669" s="42">
        <v>468000</v>
      </c>
      <c r="Q669" s="44" t="s">
        <v>3</v>
      </c>
      <c r="R669" s="28" t="s">
        <v>55</v>
      </c>
      <c r="S669" s="48">
        <f t="shared" si="465"/>
        <v>3276000</v>
      </c>
      <c r="T669" s="48">
        <f t="shared" si="467"/>
        <v>0</v>
      </c>
      <c r="W669" s="28">
        <v>134</v>
      </c>
      <c r="X669" s="105">
        <v>1.5</v>
      </c>
      <c r="Y669" s="105">
        <v>10</v>
      </c>
      <c r="Z669" s="73" t="s">
        <v>598</v>
      </c>
      <c r="AA669" s="28">
        <v>200</v>
      </c>
    </row>
    <row r="670" spans="1:27" x14ac:dyDescent="0.25">
      <c r="A670" s="4"/>
      <c r="B670" s="98" t="s">
        <v>590</v>
      </c>
      <c r="C670" s="75" t="s">
        <v>573</v>
      </c>
      <c r="D670" s="28" t="s">
        <v>574</v>
      </c>
      <c r="E670" s="28">
        <f t="shared" si="250"/>
        <v>92101</v>
      </c>
      <c r="F670" s="143" t="str">
        <f>INDEX(PV_Summary!$B$18:$B$118,MATCH($E670,PV_Summary!$A$18:$A$118,0))</f>
        <v>S</v>
      </c>
      <c r="G670" s="123">
        <v>32.731679</v>
      </c>
      <c r="H670" s="61">
        <v>-117.20401</v>
      </c>
      <c r="I670" s="44" t="s">
        <v>210</v>
      </c>
      <c r="J670" s="46">
        <f t="shared" si="462"/>
        <v>0.75</v>
      </c>
      <c r="K670" s="100" t="s">
        <v>157</v>
      </c>
      <c r="L670" s="44" t="str">
        <f t="shared" si="463"/>
        <v/>
      </c>
      <c r="M670" s="46">
        <f t="shared" si="464"/>
        <v>0.75</v>
      </c>
      <c r="N670" s="46"/>
      <c r="O670" s="41">
        <f t="shared" si="466"/>
        <v>0</v>
      </c>
      <c r="Q670" s="44" t="s">
        <v>172</v>
      </c>
      <c r="S670" s="48">
        <f t="shared" si="465"/>
        <v>0</v>
      </c>
      <c r="T670" s="48">
        <f t="shared" si="467"/>
        <v>0</v>
      </c>
      <c r="W670" s="28"/>
      <c r="X670" s="105"/>
      <c r="Y670" s="105"/>
      <c r="Z670" s="73" t="s">
        <v>598</v>
      </c>
      <c r="AA670" s="28" t="s">
        <v>748</v>
      </c>
    </row>
    <row r="671" spans="1:27" x14ac:dyDescent="0.25">
      <c r="A671" s="4"/>
      <c r="B671" s="98" t="s">
        <v>599</v>
      </c>
      <c r="C671" s="75" t="s">
        <v>573</v>
      </c>
      <c r="D671" s="28" t="s">
        <v>574</v>
      </c>
      <c r="E671" s="28">
        <f t="shared" si="250"/>
        <v>92101</v>
      </c>
      <c r="F671" s="143" t="str">
        <f>INDEX(PV_Summary!$B$18:$B$118,MATCH($E671,PV_Summary!$A$18:$A$118,0))</f>
        <v>S</v>
      </c>
      <c r="G671" s="123">
        <v>32.730280999999998</v>
      </c>
      <c r="H671" s="61">
        <v>-117.20204</v>
      </c>
      <c r="I671" s="44" t="s">
        <v>51</v>
      </c>
      <c r="J671" s="46">
        <f t="shared" si="462"/>
        <v>0.75</v>
      </c>
      <c r="K671" s="100"/>
      <c r="L671" s="44"/>
      <c r="M671" s="46">
        <f t="shared" ref="M671:M701" si="468">IF(O671&gt;1,Label_Scl_Aggr_Parent,IF(O671&lt;1,Label_Scl_Aggr_Child,Label_Scl_Normal))</f>
        <v>0.75</v>
      </c>
      <c r="N671" s="46"/>
      <c r="O671" s="41">
        <f t="shared" si="466"/>
        <v>0</v>
      </c>
      <c r="Q671" s="44"/>
      <c r="S671" s="48">
        <f t="shared" si="465"/>
        <v>0</v>
      </c>
      <c r="T671" s="48">
        <f t="shared" si="467"/>
        <v>0</v>
      </c>
      <c r="U671" s="28" t="s">
        <v>600</v>
      </c>
      <c r="W671" s="28"/>
      <c r="X671" s="105"/>
      <c r="Y671" s="105"/>
      <c r="Z671" s="73" t="s">
        <v>598</v>
      </c>
      <c r="AA671" s="28" t="s">
        <v>748</v>
      </c>
    </row>
    <row r="672" spans="1:27" x14ac:dyDescent="0.25">
      <c r="A672" s="4"/>
      <c r="B672" s="98" t="s">
        <v>591</v>
      </c>
      <c r="C672" s="75" t="s">
        <v>573</v>
      </c>
      <c r="D672" s="28" t="s">
        <v>574</v>
      </c>
      <c r="E672" s="28">
        <f t="shared" si="250"/>
        <v>92101</v>
      </c>
      <c r="F672" s="143" t="str">
        <f>INDEX(PV_Summary!$B$18:$B$118,MATCH($E672,PV_Summary!$A$18:$A$118,0))</f>
        <v>S</v>
      </c>
      <c r="G672" s="123">
        <v>32.731155000000001</v>
      </c>
      <c r="H672" s="61">
        <v>-117.206705</v>
      </c>
      <c r="I672" s="44" t="s">
        <v>210</v>
      </c>
      <c r="J672" s="46">
        <f t="shared" si="462"/>
        <v>0.75</v>
      </c>
      <c r="K672" s="100" t="s">
        <v>157</v>
      </c>
      <c r="L672" s="44"/>
      <c r="M672" s="46">
        <f t="shared" si="468"/>
        <v>0.75</v>
      </c>
      <c r="N672" s="46"/>
      <c r="O672" s="41">
        <f t="shared" si="466"/>
        <v>0</v>
      </c>
      <c r="Q672" s="44" t="s">
        <v>172</v>
      </c>
      <c r="S672" s="48">
        <f t="shared" si="465"/>
        <v>0</v>
      </c>
      <c r="T672" s="48">
        <f t="shared" si="467"/>
        <v>0</v>
      </c>
      <c r="W672" s="28"/>
      <c r="X672" s="105"/>
      <c r="Y672" s="105"/>
      <c r="Z672" s="73" t="s">
        <v>598</v>
      </c>
      <c r="AA672" s="28" t="s">
        <v>748</v>
      </c>
    </row>
    <row r="673" spans="1:27" x14ac:dyDescent="0.25">
      <c r="A673" s="4"/>
      <c r="B673" s="62" t="s">
        <v>1434</v>
      </c>
      <c r="C673" s="75" t="s">
        <v>1385</v>
      </c>
      <c r="D673" s="28" t="s">
        <v>574</v>
      </c>
      <c r="E673" s="28">
        <f t="shared" si="250"/>
        <v>92101</v>
      </c>
      <c r="F673" s="143" t="str">
        <f>INDEX(PV_Summary!$B$18:$B$118,MATCH($E673,PV_Summary!$A$18:$A$118,0))</f>
        <v>S</v>
      </c>
      <c r="G673" s="123">
        <v>32.736876000000002</v>
      </c>
      <c r="H673" s="61">
        <v>-117.14737700000001</v>
      </c>
      <c r="I673" s="44" t="s">
        <v>3</v>
      </c>
      <c r="J673" s="46">
        <f t="shared" ref="J673:J683" ca="1" si="469">IF(O673&gt;1,Sym_Scl_Aggr_Parent,IF(O673&lt;1,Sym_Scl_Aggr_Child,Sym_Scl_Normal))</f>
        <v>1</v>
      </c>
      <c r="K673" s="100"/>
      <c r="L673" s="44"/>
      <c r="M673" s="46">
        <f t="shared" ref="M673:M683" ca="1" si="470">IF(O673&gt;1,Label_Scl_Aggr_Parent,IF(O673&lt;1,Label_Scl_Aggr_Child,Label_Scl_Normal))</f>
        <v>1</v>
      </c>
      <c r="N673" s="46"/>
      <c r="O673" s="41">
        <f t="shared" ca="1" si="466"/>
        <v>1</v>
      </c>
      <c r="P673" s="42">
        <v>834000</v>
      </c>
      <c r="Q673" s="44" t="s">
        <v>3</v>
      </c>
      <c r="R673" s="28" t="s">
        <v>55</v>
      </c>
      <c r="S673" s="48">
        <f t="shared" si="465"/>
        <v>5838000</v>
      </c>
      <c r="T673" s="48">
        <f t="shared" ca="1" si="467"/>
        <v>5838000</v>
      </c>
      <c r="U673" s="28" t="s">
        <v>1390</v>
      </c>
      <c r="W673" s="28">
        <v>426</v>
      </c>
      <c r="X673" s="105">
        <v>1.41</v>
      </c>
      <c r="Y673" s="105">
        <v>9.39</v>
      </c>
      <c r="Z673" s="73" t="s">
        <v>983</v>
      </c>
      <c r="AA673" s="28">
        <v>0</v>
      </c>
    </row>
    <row r="674" spans="1:27" x14ac:dyDescent="0.25">
      <c r="A674" s="4"/>
      <c r="B674" s="62" t="s">
        <v>1435</v>
      </c>
      <c r="C674" s="75" t="s">
        <v>1436</v>
      </c>
      <c r="D674" s="28" t="s">
        <v>574</v>
      </c>
      <c r="E674" s="28">
        <f t="shared" ref="E674:E676" si="471">RIGHT(TRIM(D674),5)*1</f>
        <v>92101</v>
      </c>
      <c r="F674" s="143" t="str">
        <f>INDEX(PV_Summary!$B$18:$B$118,MATCH($E674,PV_Summary!$A$18:$A$118,0))</f>
        <v>S</v>
      </c>
      <c r="G674" s="123">
        <v>32.725056000000002</v>
      </c>
      <c r="H674" s="61">
        <v>-117.148696</v>
      </c>
      <c r="I674" s="44" t="s">
        <v>302</v>
      </c>
      <c r="J674" s="46">
        <f t="shared" ref="J674:J676" ca="1" si="472">IF(O674&gt;1,Sym_Scl_Aggr_Parent,IF(O674&lt;1,Sym_Scl_Aggr_Child,Sym_Scl_Normal))</f>
        <v>1.5</v>
      </c>
      <c r="K674" s="158" t="s">
        <v>170</v>
      </c>
      <c r="L674" s="44"/>
      <c r="M674" s="46">
        <f t="shared" ref="M674:M676" ca="1" si="473">IF(O674&gt;1,Label_Scl_Aggr_Parent,IF(O674&lt;1,Label_Scl_Aggr_Child,Label_Scl_Normal))</f>
        <v>1.25</v>
      </c>
      <c r="N674" s="46"/>
      <c r="O674" s="41">
        <f t="shared" ca="1" si="466"/>
        <v>3</v>
      </c>
      <c r="Q674" s="44"/>
      <c r="S674" s="48">
        <f t="shared" si="465"/>
        <v>0</v>
      </c>
      <c r="T674" s="48">
        <f t="shared" ca="1" si="467"/>
        <v>3045000</v>
      </c>
      <c r="W674" s="28">
        <v>426</v>
      </c>
      <c r="X674" s="105">
        <v>1.41</v>
      </c>
      <c r="Y674" s="105">
        <v>9.39</v>
      </c>
      <c r="Z674" s="73" t="s">
        <v>983</v>
      </c>
      <c r="AA674" s="28"/>
    </row>
    <row r="675" spans="1:27" x14ac:dyDescent="0.25">
      <c r="A675" s="4"/>
      <c r="B675" s="98" t="s">
        <v>1437</v>
      </c>
      <c r="C675" s="75" t="s">
        <v>1436</v>
      </c>
      <c r="D675" s="28" t="s">
        <v>574</v>
      </c>
      <c r="E675" s="28">
        <f t="shared" si="471"/>
        <v>92101</v>
      </c>
      <c r="F675" s="143" t="str">
        <f>INDEX(PV_Summary!$B$18:$B$118,MATCH($E675,PV_Summary!$A$18:$A$118,0))</f>
        <v>S</v>
      </c>
      <c r="G675" s="123">
        <v>32.725968999999999</v>
      </c>
      <c r="H675" s="61">
        <v>-117.149906</v>
      </c>
      <c r="I675" s="44" t="s">
        <v>3</v>
      </c>
      <c r="J675" s="46">
        <f t="shared" si="472"/>
        <v>0.75</v>
      </c>
      <c r="K675" s="100"/>
      <c r="L675" s="44"/>
      <c r="M675" s="46">
        <f t="shared" si="473"/>
        <v>0.75</v>
      </c>
      <c r="N675" s="46"/>
      <c r="O675" s="41">
        <f t="shared" si="466"/>
        <v>0</v>
      </c>
      <c r="P675" s="42">
        <v>108000</v>
      </c>
      <c r="Q675" s="44" t="s">
        <v>3</v>
      </c>
      <c r="R675" s="28" t="s">
        <v>55</v>
      </c>
      <c r="S675" s="48">
        <f t="shared" si="465"/>
        <v>756000</v>
      </c>
      <c r="T675" s="48">
        <f t="shared" si="467"/>
        <v>0</v>
      </c>
      <c r="W675" s="28">
        <v>426</v>
      </c>
      <c r="X675" s="105">
        <v>1.41</v>
      </c>
      <c r="Y675" s="105">
        <v>9.39</v>
      </c>
      <c r="Z675" s="73" t="s">
        <v>983</v>
      </c>
      <c r="AA675" s="28">
        <v>100</v>
      </c>
    </row>
    <row r="676" spans="1:27" x14ac:dyDescent="0.25">
      <c r="A676" s="4"/>
      <c r="B676" s="98" t="s">
        <v>1438</v>
      </c>
      <c r="C676" s="75" t="s">
        <v>1436</v>
      </c>
      <c r="D676" s="28" t="s">
        <v>574</v>
      </c>
      <c r="E676" s="28">
        <f t="shared" si="471"/>
        <v>92101</v>
      </c>
      <c r="F676" s="143" t="str">
        <f>INDEX(PV_Summary!$B$18:$B$118,MATCH($E676,PV_Summary!$A$18:$A$118,0))</f>
        <v>S</v>
      </c>
      <c r="G676" s="123">
        <v>32.724414000000003</v>
      </c>
      <c r="H676" s="61">
        <v>-117.15036000000001</v>
      </c>
      <c r="I676" s="44" t="s">
        <v>3</v>
      </c>
      <c r="J676" s="46">
        <f t="shared" si="472"/>
        <v>0.75</v>
      </c>
      <c r="K676" s="100"/>
      <c r="L676" s="44"/>
      <c r="M676" s="46">
        <f t="shared" si="473"/>
        <v>0.75</v>
      </c>
      <c r="N676" s="46"/>
      <c r="O676" s="41">
        <f t="shared" si="466"/>
        <v>0</v>
      </c>
      <c r="P676" s="42">
        <v>327000</v>
      </c>
      <c r="Q676" s="44" t="s">
        <v>3</v>
      </c>
      <c r="R676" s="28" t="s">
        <v>55</v>
      </c>
      <c r="S676" s="48">
        <f t="shared" si="465"/>
        <v>2289000</v>
      </c>
      <c r="T676" s="48">
        <f t="shared" si="467"/>
        <v>0</v>
      </c>
      <c r="W676" s="28">
        <v>426</v>
      </c>
      <c r="X676" s="105">
        <v>1.41</v>
      </c>
      <c r="Y676" s="105">
        <v>9.39</v>
      </c>
      <c r="Z676" s="73" t="s">
        <v>983</v>
      </c>
      <c r="AA676" s="28">
        <v>100</v>
      </c>
    </row>
    <row r="677" spans="1:27" x14ac:dyDescent="0.25">
      <c r="A677" s="4"/>
      <c r="B677" s="62" t="s">
        <v>1428</v>
      </c>
      <c r="C677" s="75" t="s">
        <v>1429</v>
      </c>
      <c r="D677" s="28" t="s">
        <v>1430</v>
      </c>
      <c r="E677" s="28">
        <f t="shared" ref="E677:E680" si="474">RIGHT(TRIM(D677),5)*1</f>
        <v>92134</v>
      </c>
      <c r="F677" s="143" t="str">
        <f>INDEX(PV_Summary!$B$18:$B$118,MATCH($E677,PV_Summary!$A$18:$A$118,0))</f>
        <v>S</v>
      </c>
      <c r="G677" s="123">
        <v>32.725524999999998</v>
      </c>
      <c r="H677" s="61">
        <v>-117.146513</v>
      </c>
      <c r="I677" s="44" t="s">
        <v>242</v>
      </c>
      <c r="J677" s="46">
        <f t="shared" ref="J677:J681" ca="1" si="475">IF(O677&gt;1,Sym_Scl_Aggr_Parent,IF(O677&lt;1,Sym_Scl_Aggr_Child,Sym_Scl_Normal))</f>
        <v>1.5</v>
      </c>
      <c r="K677" s="100"/>
      <c r="L677" s="44"/>
      <c r="M677" s="46">
        <f t="shared" ref="M677:M681" ca="1" si="476">IF(O677&gt;1,Label_Scl_Aggr_Parent,IF(O677&lt;1,Label_Scl_Aggr_Child,Label_Scl_Normal))</f>
        <v>1.25</v>
      </c>
      <c r="N677" s="46"/>
      <c r="O677" s="41">
        <f t="shared" ca="1" si="466"/>
        <v>4</v>
      </c>
      <c r="Q677" s="44"/>
      <c r="S677" s="48">
        <f t="shared" si="465"/>
        <v>0</v>
      </c>
      <c r="T677" s="48">
        <f t="shared" ca="1" si="467"/>
        <v>1673000</v>
      </c>
      <c r="W677" s="28">
        <v>465</v>
      </c>
      <c r="X677" s="105">
        <v>0.88</v>
      </c>
      <c r="Y677" s="105">
        <v>5.87</v>
      </c>
      <c r="Z677" s="73" t="s">
        <v>983</v>
      </c>
      <c r="AA677" s="28"/>
    </row>
    <row r="678" spans="1:27" x14ac:dyDescent="0.25">
      <c r="A678" s="4"/>
      <c r="B678" s="98" t="s">
        <v>1431</v>
      </c>
      <c r="C678" s="75" t="s">
        <v>1429</v>
      </c>
      <c r="D678" s="28" t="s">
        <v>1430</v>
      </c>
      <c r="E678" s="28">
        <f t="shared" si="474"/>
        <v>92134</v>
      </c>
      <c r="F678" s="143" t="str">
        <f>INDEX(PV_Summary!$B$18:$B$118,MATCH($E678,PV_Summary!$A$18:$A$118,0))</f>
        <v>S</v>
      </c>
      <c r="G678" s="123">
        <v>32.724598</v>
      </c>
      <c r="H678" s="61">
        <v>-117.14698799999999</v>
      </c>
      <c r="I678" s="44" t="s">
        <v>36</v>
      </c>
      <c r="J678" s="46">
        <f t="shared" si="475"/>
        <v>0.75</v>
      </c>
      <c r="K678" s="100"/>
      <c r="L678" s="44"/>
      <c r="M678" s="46">
        <f t="shared" si="476"/>
        <v>0.75</v>
      </c>
      <c r="N678" s="46"/>
      <c r="O678" s="41">
        <f t="shared" si="466"/>
        <v>0</v>
      </c>
      <c r="P678" s="42">
        <v>61000</v>
      </c>
      <c r="Q678" s="44" t="s">
        <v>36</v>
      </c>
      <c r="R678" s="28" t="s">
        <v>55</v>
      </c>
      <c r="S678" s="48">
        <f t="shared" si="465"/>
        <v>427000</v>
      </c>
      <c r="T678" s="48">
        <f t="shared" si="467"/>
        <v>0</v>
      </c>
      <c r="W678" s="28">
        <v>465</v>
      </c>
      <c r="X678" s="105">
        <v>0.88</v>
      </c>
      <c r="Y678" s="105">
        <v>5.87</v>
      </c>
      <c r="Z678" s="73" t="s">
        <v>983</v>
      </c>
      <c r="AA678" s="28">
        <v>0</v>
      </c>
    </row>
    <row r="679" spans="1:27" x14ac:dyDescent="0.25">
      <c r="A679" s="4"/>
      <c r="B679" s="98" t="s">
        <v>1432</v>
      </c>
      <c r="C679" s="75" t="s">
        <v>1429</v>
      </c>
      <c r="D679" s="28" t="s">
        <v>1430</v>
      </c>
      <c r="E679" s="28">
        <f t="shared" si="474"/>
        <v>92134</v>
      </c>
      <c r="F679" s="143" t="str">
        <f>INDEX(PV_Summary!$B$18:$B$118,MATCH($E679,PV_Summary!$A$18:$A$118,0))</f>
        <v>S</v>
      </c>
      <c r="G679" s="123">
        <v>32.724978</v>
      </c>
      <c r="H679" s="61">
        <v>-117.145484</v>
      </c>
      <c r="I679" s="44" t="s">
        <v>36</v>
      </c>
      <c r="J679" s="46">
        <f t="shared" si="475"/>
        <v>0.75</v>
      </c>
      <c r="K679" s="100"/>
      <c r="L679" s="44"/>
      <c r="M679" s="46">
        <f t="shared" si="476"/>
        <v>0.75</v>
      </c>
      <c r="N679" s="46"/>
      <c r="O679" s="41">
        <f t="shared" si="466"/>
        <v>0</v>
      </c>
      <c r="P679" s="42">
        <v>78000</v>
      </c>
      <c r="Q679" s="44" t="s">
        <v>36</v>
      </c>
      <c r="R679" s="28" t="s">
        <v>55</v>
      </c>
      <c r="S679" s="48">
        <f t="shared" si="465"/>
        <v>546000</v>
      </c>
      <c r="T679" s="48">
        <f t="shared" si="467"/>
        <v>0</v>
      </c>
      <c r="W679" s="28">
        <v>465</v>
      </c>
      <c r="X679" s="105">
        <v>0.88</v>
      </c>
      <c r="Y679" s="105">
        <v>5.87</v>
      </c>
      <c r="Z679" s="73" t="s">
        <v>983</v>
      </c>
      <c r="AA679" s="28">
        <v>100</v>
      </c>
    </row>
    <row r="680" spans="1:27" x14ac:dyDescent="0.25">
      <c r="A680" s="4"/>
      <c r="B680" s="98" t="s">
        <v>1433</v>
      </c>
      <c r="C680" s="75" t="s">
        <v>1429</v>
      </c>
      <c r="D680" s="28" t="s">
        <v>1430</v>
      </c>
      <c r="E680" s="28">
        <f t="shared" si="474"/>
        <v>92134</v>
      </c>
      <c r="F680" s="143" t="str">
        <f>INDEX(PV_Summary!$B$18:$B$118,MATCH($E680,PV_Summary!$A$18:$A$118,0))</f>
        <v>S</v>
      </c>
      <c r="G680" s="123">
        <v>32.725982999999999</v>
      </c>
      <c r="H680" s="61">
        <v>-117.144301</v>
      </c>
      <c r="I680" s="44" t="s">
        <v>36</v>
      </c>
      <c r="J680" s="46">
        <f t="shared" si="475"/>
        <v>0.75</v>
      </c>
      <c r="K680" s="100"/>
      <c r="L680" s="44"/>
      <c r="M680" s="46">
        <f t="shared" si="476"/>
        <v>0.75</v>
      </c>
      <c r="N680" s="46"/>
      <c r="O680" s="41">
        <f t="shared" si="466"/>
        <v>0</v>
      </c>
      <c r="P680" s="42">
        <v>100000</v>
      </c>
      <c r="Q680" s="44" t="s">
        <v>36</v>
      </c>
      <c r="R680" s="28" t="s">
        <v>55</v>
      </c>
      <c r="S680" s="48">
        <f t="shared" si="465"/>
        <v>700000</v>
      </c>
      <c r="T680" s="48">
        <f t="shared" si="467"/>
        <v>0</v>
      </c>
      <c r="W680" s="28">
        <v>465</v>
      </c>
      <c r="X680" s="105">
        <v>0.88</v>
      </c>
      <c r="Y680" s="105">
        <v>5.87</v>
      </c>
      <c r="Z680" s="73" t="s">
        <v>983</v>
      </c>
      <c r="AA680" s="28">
        <v>200</v>
      </c>
    </row>
    <row r="681" spans="1:27" x14ac:dyDescent="0.25">
      <c r="A681" s="4"/>
      <c r="B681" s="62" t="s">
        <v>1452</v>
      </c>
      <c r="C681" s="75" t="s">
        <v>1422</v>
      </c>
      <c r="D681" s="28" t="s">
        <v>574</v>
      </c>
      <c r="E681" s="28">
        <f t="shared" si="250"/>
        <v>92101</v>
      </c>
      <c r="F681" s="143" t="str">
        <f>INDEX(PV_Summary!$B$18:$B$118,MATCH($E681,PV_Summary!$A$18:$A$118,0))</f>
        <v>S</v>
      </c>
      <c r="G681" s="123">
        <v>32.712691999999997</v>
      </c>
      <c r="H681" s="61">
        <v>-117.17211399999999</v>
      </c>
      <c r="I681" s="44" t="s">
        <v>3</v>
      </c>
      <c r="J681" s="46">
        <f t="shared" ca="1" si="475"/>
        <v>1</v>
      </c>
      <c r="K681" s="100"/>
      <c r="L681" s="44"/>
      <c r="M681" s="46">
        <f t="shared" ca="1" si="476"/>
        <v>1</v>
      </c>
      <c r="N681" s="46"/>
      <c r="O681" s="41">
        <f ca="1">IF($C681=$C680,0,COUNTIFS(Address,$C681))</f>
        <v>1</v>
      </c>
      <c r="P681" s="42">
        <v>267000</v>
      </c>
      <c r="Q681" s="44" t="s">
        <v>3</v>
      </c>
      <c r="R681" s="102" t="s">
        <v>55</v>
      </c>
      <c r="S681" s="48">
        <f t="shared" si="465"/>
        <v>1869000</v>
      </c>
      <c r="T681" s="48">
        <f t="shared" ca="1" si="467"/>
        <v>1869000</v>
      </c>
      <c r="W681" s="28">
        <v>756</v>
      </c>
      <c r="X681" s="105">
        <v>1.22</v>
      </c>
      <c r="Y681" s="105">
        <v>8.1199999999999992</v>
      </c>
      <c r="Z681" s="73" t="s">
        <v>982</v>
      </c>
      <c r="AA681" s="28">
        <v>0</v>
      </c>
    </row>
    <row r="682" spans="1:27" x14ac:dyDescent="0.25">
      <c r="A682" s="4"/>
      <c r="B682" s="62" t="s">
        <v>1399</v>
      </c>
      <c r="C682" s="75" t="s">
        <v>1402</v>
      </c>
      <c r="D682" s="28" t="s">
        <v>574</v>
      </c>
      <c r="E682" s="28">
        <f t="shared" si="250"/>
        <v>92101</v>
      </c>
      <c r="F682" s="143" t="str">
        <f>INDEX(PV_Summary!$B$18:$B$118,MATCH($E682,PV_Summary!$A$18:$A$118,0))</f>
        <v>S</v>
      </c>
      <c r="G682" s="123">
        <v>32.705623000000003</v>
      </c>
      <c r="H682" s="61">
        <v>-117.163236</v>
      </c>
      <c r="I682" s="44" t="s">
        <v>302</v>
      </c>
      <c r="J682" s="46">
        <f t="shared" ref="J682" ca="1" si="477">IF(O682&gt;1,Sym_Scl_Aggr_Parent,IF(O682&lt;1,Sym_Scl_Aggr_Child,Sym_Scl_Normal))</f>
        <v>1.5</v>
      </c>
      <c r="K682" s="158" t="s">
        <v>170</v>
      </c>
      <c r="L682" s="44"/>
      <c r="M682" s="46">
        <f t="shared" ref="M682" ca="1" si="478">IF(O682&gt;1,Label_Scl_Aggr_Parent,IF(O682&lt;1,Label_Scl_Aggr_Child,Label_Scl_Normal))</f>
        <v>1.25</v>
      </c>
      <c r="N682" s="46"/>
      <c r="O682" s="41">
        <f t="shared" ca="1" si="466"/>
        <v>3</v>
      </c>
      <c r="Q682" s="44"/>
      <c r="S682" s="48">
        <f t="shared" si="465"/>
        <v>0</v>
      </c>
      <c r="T682" s="48">
        <f t="shared" ca="1" si="467"/>
        <v>1421000</v>
      </c>
      <c r="W682" s="28">
        <v>131</v>
      </c>
      <c r="X682" s="105">
        <v>1.59</v>
      </c>
      <c r="Y682" s="105">
        <v>10.6</v>
      </c>
      <c r="Z682" s="73" t="s">
        <v>603</v>
      </c>
      <c r="AA682" s="28"/>
    </row>
    <row r="683" spans="1:27" x14ac:dyDescent="0.25">
      <c r="A683" s="4"/>
      <c r="B683" s="98" t="s">
        <v>1401</v>
      </c>
      <c r="C683" s="75" t="s">
        <v>1402</v>
      </c>
      <c r="D683" s="28" t="s">
        <v>574</v>
      </c>
      <c r="E683" s="28">
        <f t="shared" ref="E683:E685" si="479">RIGHT(TRIM(D683),5)*1</f>
        <v>92101</v>
      </c>
      <c r="F683" s="143" t="str">
        <f>INDEX(PV_Summary!$B$18:$B$118,MATCH($E683,PV_Summary!$A$18:$A$118,0))</f>
        <v>S</v>
      </c>
      <c r="G683" s="123">
        <v>32.705241000000001</v>
      </c>
      <c r="H683" s="61">
        <v>-117.162362</v>
      </c>
      <c r="I683" s="44" t="s">
        <v>3</v>
      </c>
      <c r="J683" s="46">
        <f t="shared" si="469"/>
        <v>0.75</v>
      </c>
      <c r="K683" s="100"/>
      <c r="L683" s="44"/>
      <c r="M683" s="46">
        <f t="shared" si="470"/>
        <v>0.75</v>
      </c>
      <c r="N683" s="46"/>
      <c r="O683" s="41">
        <f t="shared" si="466"/>
        <v>0</v>
      </c>
      <c r="P683" s="42">
        <v>76000</v>
      </c>
      <c r="Q683" s="44" t="s">
        <v>3</v>
      </c>
      <c r="R683" s="28" t="s">
        <v>55</v>
      </c>
      <c r="S683" s="48">
        <f t="shared" si="465"/>
        <v>532000</v>
      </c>
      <c r="T683" s="48">
        <f t="shared" si="467"/>
        <v>0</v>
      </c>
      <c r="W683" s="28">
        <v>131</v>
      </c>
      <c r="X683" s="105">
        <v>1.59</v>
      </c>
      <c r="Y683" s="105">
        <v>10.6</v>
      </c>
      <c r="Z683" s="73" t="s">
        <v>603</v>
      </c>
      <c r="AA683" s="28">
        <v>0</v>
      </c>
    </row>
    <row r="684" spans="1:27" x14ac:dyDescent="0.25">
      <c r="A684" s="4"/>
      <c r="B684" s="98" t="s">
        <v>1400</v>
      </c>
      <c r="C684" s="75" t="s">
        <v>1402</v>
      </c>
      <c r="D684" s="28" t="s">
        <v>574</v>
      </c>
      <c r="E684" s="28">
        <f t="shared" si="479"/>
        <v>92101</v>
      </c>
      <c r="F684" s="143" t="str">
        <f>INDEX(PV_Summary!$B$18:$B$118,MATCH($E684,PV_Summary!$A$18:$A$118,0))</f>
        <v>S</v>
      </c>
      <c r="G684" s="123">
        <v>32.704208000000001</v>
      </c>
      <c r="H684" s="61">
        <v>-117.16418400000001</v>
      </c>
      <c r="I684" s="44" t="s">
        <v>3</v>
      </c>
      <c r="J684" s="46">
        <f t="shared" ref="J684:J685" si="480">IF(O684&gt;1,Sym_Scl_Aggr_Parent,IF(O684&lt;1,Sym_Scl_Aggr_Child,Sym_Scl_Normal))</f>
        <v>0.75</v>
      </c>
      <c r="K684" s="100"/>
      <c r="L684" s="44"/>
      <c r="M684" s="46">
        <f t="shared" ref="M684:M685" si="481">IF(O684&gt;1,Label_Scl_Aggr_Parent,IF(O684&lt;1,Label_Scl_Aggr_Child,Label_Scl_Normal))</f>
        <v>0.75</v>
      </c>
      <c r="N684" s="46"/>
      <c r="O684" s="41">
        <f t="shared" si="466"/>
        <v>0</v>
      </c>
      <c r="P684" s="42">
        <v>127000</v>
      </c>
      <c r="Q684" s="44" t="s">
        <v>3</v>
      </c>
      <c r="R684" s="28" t="s">
        <v>55</v>
      </c>
      <c r="S684" s="48">
        <f t="shared" si="465"/>
        <v>889000</v>
      </c>
      <c r="T684" s="48">
        <f t="shared" si="467"/>
        <v>0</v>
      </c>
      <c r="W684" s="28">
        <v>131</v>
      </c>
      <c r="X684" s="105">
        <v>1.59</v>
      </c>
      <c r="Y684" s="105">
        <v>10.6</v>
      </c>
      <c r="Z684" s="73" t="s">
        <v>603</v>
      </c>
      <c r="AA684" s="28">
        <v>0</v>
      </c>
    </row>
    <row r="685" spans="1:27" x14ac:dyDescent="0.25">
      <c r="A685" s="4"/>
      <c r="B685" s="62" t="s">
        <v>1403</v>
      </c>
      <c r="C685" s="75" t="s">
        <v>1404</v>
      </c>
      <c r="D685" s="28" t="s">
        <v>574</v>
      </c>
      <c r="E685" s="28">
        <f t="shared" si="479"/>
        <v>92101</v>
      </c>
      <c r="F685" s="143" t="str">
        <f>INDEX(PV_Summary!$B$18:$B$118,MATCH($E685,PV_Summary!$A$18:$A$118,0))</f>
        <v>S</v>
      </c>
      <c r="G685" s="123">
        <v>32.706367</v>
      </c>
      <c r="H685" s="61">
        <v>-117.162205</v>
      </c>
      <c r="I685" s="44" t="s">
        <v>302</v>
      </c>
      <c r="J685" s="46">
        <f t="shared" ca="1" si="480"/>
        <v>1.5</v>
      </c>
      <c r="K685" s="158" t="s">
        <v>170</v>
      </c>
      <c r="L685" s="44"/>
      <c r="M685" s="46">
        <f t="shared" ca="1" si="481"/>
        <v>1.25</v>
      </c>
      <c r="N685" s="46"/>
      <c r="O685" s="41">
        <f t="shared" ca="1" si="466"/>
        <v>3</v>
      </c>
      <c r="Q685" s="44"/>
      <c r="S685" s="48">
        <f t="shared" si="465"/>
        <v>0</v>
      </c>
      <c r="T685" s="48">
        <f t="shared" ca="1" si="467"/>
        <v>1001000</v>
      </c>
      <c r="W685" s="28">
        <v>427</v>
      </c>
      <c r="X685" s="105">
        <v>1.49</v>
      </c>
      <c r="Y685" s="105">
        <v>9.9600000000000009</v>
      </c>
      <c r="Z685" s="73" t="s">
        <v>983</v>
      </c>
      <c r="AA685" s="28"/>
    </row>
    <row r="686" spans="1:27" x14ac:dyDescent="0.25">
      <c r="A686" s="4"/>
      <c r="B686" s="98" t="s">
        <v>1405</v>
      </c>
      <c r="C686" s="75" t="s">
        <v>1404</v>
      </c>
      <c r="D686" s="28" t="s">
        <v>574</v>
      </c>
      <c r="E686" s="28">
        <f t="shared" ref="E686:E689" si="482">RIGHT(TRIM(D686),5)*1</f>
        <v>92101</v>
      </c>
      <c r="F686" s="143" t="str">
        <f>INDEX(PV_Summary!$B$18:$B$118,MATCH($E686,PV_Summary!$A$18:$A$118,0))</f>
        <v>S</v>
      </c>
      <c r="G686" s="123">
        <v>32.707635000000003</v>
      </c>
      <c r="H686" s="61">
        <v>-117.163822</v>
      </c>
      <c r="I686" s="44" t="s">
        <v>37</v>
      </c>
      <c r="J686" s="46">
        <f t="shared" ref="J686:J687" si="483">IF(O686&gt;1,Sym_Scl_Aggr_Parent,IF(O686&lt;1,Sym_Scl_Aggr_Child,Sym_Scl_Normal))</f>
        <v>0.75</v>
      </c>
      <c r="K686" s="100"/>
      <c r="L686" s="44"/>
      <c r="M686" s="46">
        <f t="shared" ref="M686:M687" si="484">IF(O686&gt;1,Label_Scl_Aggr_Parent,IF(O686&lt;1,Label_Scl_Aggr_Child,Label_Scl_Normal))</f>
        <v>0.75</v>
      </c>
      <c r="N686" s="46"/>
      <c r="O686" s="41">
        <f t="shared" si="466"/>
        <v>0</v>
      </c>
      <c r="P686" s="42">
        <v>47000</v>
      </c>
      <c r="Q686" s="44" t="s">
        <v>37</v>
      </c>
      <c r="R686" s="28" t="s">
        <v>55</v>
      </c>
      <c r="S686" s="48">
        <f t="shared" si="465"/>
        <v>329000</v>
      </c>
      <c r="T686" s="48">
        <f t="shared" si="467"/>
        <v>0</v>
      </c>
      <c r="W686" s="28">
        <v>427</v>
      </c>
      <c r="X686" s="105">
        <v>1.49</v>
      </c>
      <c r="Y686" s="105">
        <v>9.9600000000000009</v>
      </c>
      <c r="Z686" s="73" t="s">
        <v>983</v>
      </c>
      <c r="AA686" s="28">
        <v>200</v>
      </c>
    </row>
    <row r="687" spans="1:27" x14ac:dyDescent="0.25">
      <c r="A687" s="4"/>
      <c r="B687" s="98" t="s">
        <v>1406</v>
      </c>
      <c r="C687" s="75" t="s">
        <v>1404</v>
      </c>
      <c r="D687" s="28" t="s">
        <v>574</v>
      </c>
      <c r="E687" s="28">
        <f t="shared" si="482"/>
        <v>92101</v>
      </c>
      <c r="F687" s="143" t="str">
        <f>INDEX(PV_Summary!$B$18:$B$118,MATCH($E687,PV_Summary!$A$18:$A$118,0))</f>
        <v>S</v>
      </c>
      <c r="G687" s="123">
        <v>32.705190000000002</v>
      </c>
      <c r="H687" s="61">
        <v>-117.16080700000001</v>
      </c>
      <c r="I687" s="44" t="s">
        <v>37</v>
      </c>
      <c r="J687" s="46">
        <f t="shared" si="483"/>
        <v>0.75</v>
      </c>
      <c r="K687" s="100"/>
      <c r="L687" s="44"/>
      <c r="M687" s="46">
        <f t="shared" si="484"/>
        <v>0.75</v>
      </c>
      <c r="N687" s="46"/>
      <c r="O687" s="41">
        <f t="shared" si="466"/>
        <v>0</v>
      </c>
      <c r="P687" s="42">
        <f>58000+38000</f>
        <v>96000</v>
      </c>
      <c r="Q687" s="44" t="s">
        <v>37</v>
      </c>
      <c r="R687" s="28" t="s">
        <v>55</v>
      </c>
      <c r="S687" s="48">
        <f t="shared" si="465"/>
        <v>672000</v>
      </c>
      <c r="T687" s="48">
        <f t="shared" si="467"/>
        <v>0</v>
      </c>
      <c r="W687" s="28">
        <v>427</v>
      </c>
      <c r="X687" s="105">
        <v>1.49</v>
      </c>
      <c r="Y687" s="105">
        <v>9.9600000000000009</v>
      </c>
      <c r="Z687" s="73" t="s">
        <v>983</v>
      </c>
      <c r="AA687" s="28">
        <v>200</v>
      </c>
    </row>
    <row r="688" spans="1:27" x14ac:dyDescent="0.25">
      <c r="A688" s="4"/>
      <c r="B688" s="62" t="s">
        <v>1521</v>
      </c>
      <c r="C688" s="75" t="s">
        <v>1423</v>
      </c>
      <c r="D688" s="28" t="s">
        <v>574</v>
      </c>
      <c r="E688" s="28">
        <f t="shared" si="482"/>
        <v>92101</v>
      </c>
      <c r="F688" s="143" t="str">
        <f>INDEX(PV_Summary!$B$18:$B$118,MATCH($E688,PV_Summary!$A$18:$A$118,0))</f>
        <v>S</v>
      </c>
      <c r="G688" s="123">
        <v>32.700586000000001</v>
      </c>
      <c r="H688" s="61">
        <v>-117.15733400000001</v>
      </c>
      <c r="I688" s="44" t="s">
        <v>37</v>
      </c>
      <c r="J688" s="46">
        <f t="shared" ref="J688:J689" ca="1" si="485">IF(O688&gt;1,Sym_Scl_Aggr_Parent,IF(O688&lt;1,Sym_Scl_Aggr_Child,Sym_Scl_Normal))</f>
        <v>1</v>
      </c>
      <c r="K688" s="100"/>
      <c r="L688" s="44"/>
      <c r="M688" s="46">
        <f t="shared" ref="M688:M689" ca="1" si="486">IF(O688&gt;1,Label_Scl_Aggr_Parent,IF(O688&lt;1,Label_Scl_Aggr_Child,Label_Scl_Normal))</f>
        <v>1</v>
      </c>
      <c r="N688" s="46"/>
      <c r="O688" s="41">
        <f t="shared" ca="1" si="466"/>
        <v>1</v>
      </c>
      <c r="P688" s="42">
        <v>289000</v>
      </c>
      <c r="Q688" s="44" t="s">
        <v>37</v>
      </c>
      <c r="R688" s="28" t="s">
        <v>55</v>
      </c>
      <c r="S688" s="48">
        <f t="shared" si="465"/>
        <v>2023000</v>
      </c>
      <c r="T688" s="48">
        <f t="shared" ca="1" si="467"/>
        <v>2023000</v>
      </c>
      <c r="W688" s="28">
        <v>131</v>
      </c>
      <c r="X688" s="105">
        <v>1.59</v>
      </c>
      <c r="Y688" s="105">
        <v>10.6</v>
      </c>
      <c r="Z688" s="73" t="s">
        <v>603</v>
      </c>
      <c r="AA688" s="28">
        <v>50</v>
      </c>
    </row>
    <row r="689" spans="1:27" x14ac:dyDescent="0.25">
      <c r="A689" s="4"/>
      <c r="B689" s="62" t="s">
        <v>1424</v>
      </c>
      <c r="C689" s="75" t="s">
        <v>1425</v>
      </c>
      <c r="D689" s="28" t="s">
        <v>574</v>
      </c>
      <c r="E689" s="28">
        <f t="shared" si="482"/>
        <v>92101</v>
      </c>
      <c r="F689" s="143" t="str">
        <f>INDEX(PV_Summary!$B$18:$B$118,MATCH($E689,PV_Summary!$A$18:$A$118,0))</f>
        <v>S</v>
      </c>
      <c r="G689" s="123">
        <v>32.698497000000003</v>
      </c>
      <c r="H689" s="61">
        <v>-117.15502600000001</v>
      </c>
      <c r="I689" s="44" t="s">
        <v>37</v>
      </c>
      <c r="J689" s="46">
        <f t="shared" ca="1" si="485"/>
        <v>1</v>
      </c>
      <c r="K689" s="100"/>
      <c r="L689" s="44"/>
      <c r="M689" s="46">
        <f t="shared" ca="1" si="486"/>
        <v>1</v>
      </c>
      <c r="N689" s="46"/>
      <c r="O689" s="41">
        <f t="shared" ca="1" si="466"/>
        <v>1</v>
      </c>
      <c r="P689" s="42">
        <v>288000</v>
      </c>
      <c r="Q689" s="44" t="s">
        <v>37</v>
      </c>
      <c r="R689" s="28" t="s">
        <v>55</v>
      </c>
      <c r="S689" s="48">
        <f t="shared" si="465"/>
        <v>2016000</v>
      </c>
      <c r="T689" s="48">
        <f t="shared" ca="1" si="467"/>
        <v>2016000</v>
      </c>
      <c r="W689" s="28">
        <v>131</v>
      </c>
      <c r="X689" s="105">
        <v>1.59</v>
      </c>
      <c r="Y689" s="105">
        <v>10.6</v>
      </c>
      <c r="Z689" s="73" t="s">
        <v>603</v>
      </c>
      <c r="AA689" s="28">
        <v>100</v>
      </c>
    </row>
    <row r="690" spans="1:27" x14ac:dyDescent="0.25">
      <c r="A690" s="4"/>
      <c r="B690" s="62" t="s">
        <v>1440</v>
      </c>
      <c r="C690" s="75" t="s">
        <v>1441</v>
      </c>
      <c r="D690" s="28" t="s">
        <v>574</v>
      </c>
      <c r="E690" s="28">
        <f>RIGHT(TRIM(D689),5)*1</f>
        <v>92101</v>
      </c>
      <c r="F690" s="143" t="str">
        <f>INDEX(PV_Summary!$B$18:$B$118,MATCH($E690,PV_Summary!$A$18:$A$118,0))</f>
        <v>S</v>
      </c>
      <c r="G690" s="123">
        <v>32.707366999999998</v>
      </c>
      <c r="H690" s="61">
        <v>-117.153131</v>
      </c>
      <c r="I690" s="44" t="s">
        <v>3</v>
      </c>
      <c r="J690" s="46">
        <f t="shared" ref="J690:J692" ca="1" si="487">IF(O690&gt;1,Sym_Scl_Aggr_Parent,IF(O690&lt;1,Sym_Scl_Aggr_Child,Sym_Scl_Normal))</f>
        <v>1</v>
      </c>
      <c r="K690" s="100"/>
      <c r="L690" s="44"/>
      <c r="M690" s="46">
        <f t="shared" ref="M690:M692" ca="1" si="488">IF(O690&gt;1,Label_Scl_Aggr_Parent,IF(O690&lt;1,Label_Scl_Aggr_Child,Label_Scl_Normal))</f>
        <v>1</v>
      </c>
      <c r="N690" s="46"/>
      <c r="O690" s="41">
        <f t="shared" ca="1" si="466"/>
        <v>1</v>
      </c>
      <c r="P690" s="42">
        <v>327000</v>
      </c>
      <c r="Q690" s="44" t="s">
        <v>3</v>
      </c>
      <c r="R690" s="28" t="s">
        <v>55</v>
      </c>
      <c r="S690" s="48">
        <f t="shared" si="465"/>
        <v>2289000</v>
      </c>
      <c r="T690" s="48">
        <f t="shared" ca="1" si="467"/>
        <v>2289000</v>
      </c>
      <c r="W690" s="28">
        <v>123</v>
      </c>
      <c r="X690" s="105">
        <v>1.48</v>
      </c>
      <c r="Y690" s="105">
        <v>9.84</v>
      </c>
      <c r="Z690" s="73" t="s">
        <v>603</v>
      </c>
      <c r="AA690" s="28">
        <v>100</v>
      </c>
    </row>
    <row r="691" spans="1:27" x14ac:dyDescent="0.25">
      <c r="A691" s="4"/>
      <c r="B691" s="62" t="s">
        <v>1426</v>
      </c>
      <c r="C691" s="75" t="s">
        <v>1427</v>
      </c>
      <c r="D691" s="28" t="s">
        <v>523</v>
      </c>
      <c r="E691" s="28">
        <f t="shared" ref="E691:E692" si="489">RIGHT(TRIM(D691),5)*1</f>
        <v>92113</v>
      </c>
      <c r="F691" s="143" t="str">
        <f>INDEX(PV_Summary!$B$18:$B$118,MATCH($E691,PV_Summary!$A$18:$A$118,0))</f>
        <v>S</v>
      </c>
      <c r="G691" s="123">
        <v>32.698762000000002</v>
      </c>
      <c r="H691" s="61">
        <v>-117.149944</v>
      </c>
      <c r="I691" s="44" t="s">
        <v>3</v>
      </c>
      <c r="J691" s="46">
        <f t="shared" ca="1" si="487"/>
        <v>1</v>
      </c>
      <c r="K691" s="100"/>
      <c r="L691" s="44"/>
      <c r="M691" s="46">
        <f t="shared" ca="1" si="488"/>
        <v>1</v>
      </c>
      <c r="N691" s="46"/>
      <c r="O691" s="41">
        <f t="shared" ca="1" si="466"/>
        <v>1</v>
      </c>
      <c r="P691" s="42">
        <v>263000</v>
      </c>
      <c r="Q691" s="44" t="s">
        <v>3</v>
      </c>
      <c r="R691" s="28" t="s">
        <v>55</v>
      </c>
      <c r="S691" s="48">
        <f t="shared" si="465"/>
        <v>1841000</v>
      </c>
      <c r="T691" s="48">
        <f t="shared" ca="1" si="467"/>
        <v>1841000</v>
      </c>
      <c r="W691" s="28">
        <v>131</v>
      </c>
      <c r="X691" s="105">
        <v>1.59</v>
      </c>
      <c r="Y691" s="105">
        <v>10.6</v>
      </c>
      <c r="Z691" s="73" t="s">
        <v>603</v>
      </c>
      <c r="AA691" s="28">
        <v>0</v>
      </c>
    </row>
    <row r="692" spans="1:27" x14ac:dyDescent="0.25">
      <c r="A692" s="4"/>
      <c r="B692" s="62" t="s">
        <v>1439</v>
      </c>
      <c r="C692" s="75" t="s">
        <v>1453</v>
      </c>
      <c r="D692" s="28" t="s">
        <v>543</v>
      </c>
      <c r="E692" s="28">
        <f t="shared" si="489"/>
        <v>92102</v>
      </c>
      <c r="F692" s="143" t="str">
        <f>INDEX(PV_Summary!$B$18:$B$118,MATCH($E692,PV_Summary!$A$18:$A$118,0))</f>
        <v>S</v>
      </c>
      <c r="G692" s="123">
        <v>32.720480000000002</v>
      </c>
      <c r="H692" s="61">
        <v>-117.14438</v>
      </c>
      <c r="I692" s="44" t="s">
        <v>3</v>
      </c>
      <c r="J692" s="46">
        <f t="shared" ca="1" si="487"/>
        <v>1</v>
      </c>
      <c r="K692" s="100"/>
      <c r="L692" s="44"/>
      <c r="M692" s="46">
        <f t="shared" ca="1" si="488"/>
        <v>1</v>
      </c>
      <c r="N692" s="46"/>
      <c r="O692" s="41">
        <f t="shared" ca="1" si="466"/>
        <v>1</v>
      </c>
      <c r="P692" s="42">
        <v>169000</v>
      </c>
      <c r="Q692" s="44" t="s">
        <v>3</v>
      </c>
      <c r="R692" s="28" t="s">
        <v>55</v>
      </c>
      <c r="S692" s="48">
        <f t="shared" si="465"/>
        <v>1183000</v>
      </c>
      <c r="T692" s="48">
        <f t="shared" ca="1" si="467"/>
        <v>1183000</v>
      </c>
      <c r="W692" s="28">
        <v>426</v>
      </c>
      <c r="X692" s="105">
        <v>1.41</v>
      </c>
      <c r="Y692" s="105">
        <v>9.39</v>
      </c>
      <c r="Z692" s="73" t="s">
        <v>983</v>
      </c>
      <c r="AA692" s="28">
        <v>0</v>
      </c>
    </row>
    <row r="693" spans="1:27" x14ac:dyDescent="0.25">
      <c r="A693"/>
      <c r="B693" s="28" t="s">
        <v>552</v>
      </c>
      <c r="C693" s="75" t="s">
        <v>553</v>
      </c>
      <c r="D693" s="78" t="s">
        <v>543</v>
      </c>
      <c r="E693" s="28">
        <f t="shared" si="250"/>
        <v>92102</v>
      </c>
      <c r="F693" s="143" t="str">
        <f>INDEX(PV_Summary!$B$18:$B$118,MATCH($E693,PV_Summary!$A$18:$A$118,0))</f>
        <v>S</v>
      </c>
      <c r="G693" s="123">
        <v>32.720106999999999</v>
      </c>
      <c r="H693" s="61">
        <v>-117.094765</v>
      </c>
      <c r="I693" s="44" t="s">
        <v>69</v>
      </c>
      <c r="J693" s="46">
        <f t="shared" ref="J693:J694" ca="1" si="490">IF(O693&gt;1,Sym_Scl_Aggr_Parent,IF(O693&lt;1,Sym_Scl_Aggr_Child,Sym_Scl_Normal))</f>
        <v>1.5</v>
      </c>
      <c r="K693" s="100"/>
      <c r="L693" s="44"/>
      <c r="M693" s="46">
        <f t="shared" ref="M693:M694" ca="1" si="491">IF(O693&gt;1,Label_Scl_Aggr_Parent,IF(O693&lt;1,Label_Scl_Aggr_Child,Label_Scl_Normal))</f>
        <v>1.25</v>
      </c>
      <c r="N693" s="46"/>
      <c r="O693" s="41">
        <f t="shared" ca="1" si="466"/>
        <v>4</v>
      </c>
      <c r="Q693" s="44"/>
      <c r="S693" s="48">
        <f t="shared" si="465"/>
        <v>0</v>
      </c>
      <c r="T693" s="48">
        <f t="shared" ca="1" si="467"/>
        <v>1512000</v>
      </c>
      <c r="W693" s="28">
        <v>167</v>
      </c>
      <c r="X693" s="105">
        <v>0.47</v>
      </c>
      <c r="Y693" s="105">
        <v>3.12</v>
      </c>
      <c r="Z693" s="73" t="s">
        <v>601</v>
      </c>
      <c r="AA693" s="28">
        <v>400</v>
      </c>
    </row>
    <row r="694" spans="1:27" x14ac:dyDescent="0.25">
      <c r="A694"/>
      <c r="B694" s="98" t="s">
        <v>554</v>
      </c>
      <c r="C694" s="78" t="s">
        <v>553</v>
      </c>
      <c r="D694" s="78" t="s">
        <v>543</v>
      </c>
      <c r="E694" s="28">
        <f t="shared" si="250"/>
        <v>92102</v>
      </c>
      <c r="F694" s="143" t="str">
        <f>INDEX(PV_Summary!$B$18:$B$118,MATCH($E694,PV_Summary!$A$18:$A$118,0))</f>
        <v>S</v>
      </c>
      <c r="G694" s="123">
        <v>32.719706000000002</v>
      </c>
      <c r="H694" s="61">
        <v>-117.096276</v>
      </c>
      <c r="I694" s="44" t="s">
        <v>37</v>
      </c>
      <c r="J694" s="46">
        <f t="shared" si="490"/>
        <v>0.75</v>
      </c>
      <c r="K694" s="100"/>
      <c r="L694" s="44"/>
      <c r="M694" s="46">
        <f t="shared" si="491"/>
        <v>0.75</v>
      </c>
      <c r="N694" s="46"/>
      <c r="O694" s="41">
        <f t="shared" si="466"/>
        <v>0</v>
      </c>
      <c r="P694" s="42">
        <v>24000</v>
      </c>
      <c r="Q694" s="44" t="s">
        <v>37</v>
      </c>
      <c r="R694" s="28" t="s">
        <v>55</v>
      </c>
      <c r="S694" s="48">
        <f t="shared" si="465"/>
        <v>168000</v>
      </c>
      <c r="T694" s="48">
        <f t="shared" si="467"/>
        <v>0</v>
      </c>
      <c r="W694" s="28">
        <v>167</v>
      </c>
      <c r="X694" s="105">
        <v>0.47</v>
      </c>
      <c r="Y694" s="105">
        <v>3.12</v>
      </c>
      <c r="Z694" s="73" t="s">
        <v>601</v>
      </c>
      <c r="AA694" s="28">
        <v>400</v>
      </c>
    </row>
    <row r="695" spans="1:27" x14ac:dyDescent="0.25">
      <c r="A695"/>
      <c r="B695" s="98" t="s">
        <v>555</v>
      </c>
      <c r="C695" s="78" t="s">
        <v>553</v>
      </c>
      <c r="D695" s="78" t="s">
        <v>543</v>
      </c>
      <c r="E695" s="28">
        <f t="shared" si="250"/>
        <v>92102</v>
      </c>
      <c r="F695" s="143" t="str">
        <f>INDEX(PV_Summary!$B$18:$B$118,MATCH($E695,PV_Summary!$A$18:$A$118,0))</f>
        <v>S</v>
      </c>
      <c r="G695" s="123">
        <v>32.719895999999999</v>
      </c>
      <c r="H695" s="61">
        <v>-117.09523299999999</v>
      </c>
      <c r="I695" s="44" t="s">
        <v>37</v>
      </c>
      <c r="J695" s="46">
        <f t="shared" ref="J695:J701" si="492">IF(O695&gt;1,Sym_Scl_Aggr_Parent,IF(O695&lt;1,Sym_Scl_Aggr_Child,Sym_Scl_Normal))</f>
        <v>0.75</v>
      </c>
      <c r="K695" s="100"/>
      <c r="L695" s="44" t="str">
        <f>IF(O695&gt;1,"Total","")</f>
        <v/>
      </c>
      <c r="M695" s="46">
        <f t="shared" si="468"/>
        <v>0.75</v>
      </c>
      <c r="N695" s="46"/>
      <c r="O695" s="41">
        <f t="shared" si="466"/>
        <v>0</v>
      </c>
      <c r="P695" s="42">
        <v>61000</v>
      </c>
      <c r="Q695" s="61" t="s">
        <v>37</v>
      </c>
      <c r="R695" s="28" t="s">
        <v>55</v>
      </c>
      <c r="S695" s="48">
        <f t="shared" ref="S695:S702" si="493">IF(ISNUMBER(FIND("Existing",$Q695)),0,IF($P695=0,0,INDEX(PV_W_Type_Rating_Tbl,MATCH($Q695,PV_Type_List,0),MATCH($R695,Rating_List,0)+4*DC_AC_Num)*$P695))</f>
        <v>427000</v>
      </c>
      <c r="T695" s="48">
        <f t="shared" si="467"/>
        <v>0</v>
      </c>
      <c r="W695" s="28">
        <v>167</v>
      </c>
      <c r="X695" s="105">
        <v>0.47</v>
      </c>
      <c r="Y695" s="105">
        <v>3.12</v>
      </c>
      <c r="Z695" s="73" t="s">
        <v>601</v>
      </c>
      <c r="AA695" s="28">
        <v>400</v>
      </c>
    </row>
    <row r="696" spans="1:27" x14ac:dyDescent="0.25">
      <c r="A696"/>
      <c r="B696" s="98" t="s">
        <v>556</v>
      </c>
      <c r="C696" s="78" t="s">
        <v>553</v>
      </c>
      <c r="D696" s="78" t="s">
        <v>543</v>
      </c>
      <c r="E696" s="28">
        <f t="shared" si="250"/>
        <v>92102</v>
      </c>
      <c r="F696" s="143" t="str">
        <f>INDEX(PV_Summary!$B$18:$B$118,MATCH($E696,PV_Summary!$A$18:$A$118,0))</f>
        <v>S</v>
      </c>
      <c r="G696" s="123">
        <v>32.720846000000002</v>
      </c>
      <c r="H696" s="61">
        <v>-117.094628</v>
      </c>
      <c r="I696" s="44" t="s">
        <v>37</v>
      </c>
      <c r="J696" s="46">
        <f t="shared" si="492"/>
        <v>0.75</v>
      </c>
      <c r="K696" s="100"/>
      <c r="L696" s="44" t="str">
        <f>IF(O696&gt;1,"Total","")</f>
        <v/>
      </c>
      <c r="M696" s="46">
        <f t="shared" si="468"/>
        <v>0.75</v>
      </c>
      <c r="N696" s="46"/>
      <c r="O696" s="41">
        <f t="shared" si="466"/>
        <v>0</v>
      </c>
      <c r="P696" s="42">
        <v>131000</v>
      </c>
      <c r="Q696" s="44" t="s">
        <v>37</v>
      </c>
      <c r="R696" s="28" t="s">
        <v>55</v>
      </c>
      <c r="S696" s="48">
        <f t="shared" si="493"/>
        <v>917000</v>
      </c>
      <c r="T696" s="48">
        <f t="shared" si="467"/>
        <v>0</v>
      </c>
      <c r="W696" s="28">
        <v>167</v>
      </c>
      <c r="X696" s="105">
        <v>0.47</v>
      </c>
      <c r="Y696" s="105">
        <v>3.12</v>
      </c>
      <c r="Z696" s="73" t="s">
        <v>601</v>
      </c>
      <c r="AA696" s="28">
        <v>400</v>
      </c>
    </row>
    <row r="697" spans="1:27" x14ac:dyDescent="0.25">
      <c r="A697" s="4"/>
      <c r="B697" s="78" t="s">
        <v>541</v>
      </c>
      <c r="C697" s="75" t="s">
        <v>542</v>
      </c>
      <c r="D697" s="75" t="s">
        <v>543</v>
      </c>
      <c r="E697" s="28">
        <f t="shared" si="250"/>
        <v>92102</v>
      </c>
      <c r="F697" s="143" t="str">
        <f>INDEX(PV_Summary!$B$18:$B$118,MATCH($E697,PV_Summary!$A$18:$A$118,0))</f>
        <v>S</v>
      </c>
      <c r="G697" s="123">
        <v>32.712986000000001</v>
      </c>
      <c r="H697" s="61">
        <v>-117.116226</v>
      </c>
      <c r="I697" s="44" t="s">
        <v>62</v>
      </c>
      <c r="J697" s="46">
        <f t="shared" ca="1" si="492"/>
        <v>1.5</v>
      </c>
      <c r="K697" s="100"/>
      <c r="L697" s="44"/>
      <c r="M697" s="46">
        <f t="shared" ca="1" si="468"/>
        <v>1.25</v>
      </c>
      <c r="N697" s="46"/>
      <c r="O697" s="41">
        <f t="shared" ca="1" si="466"/>
        <v>5</v>
      </c>
      <c r="Q697" s="44"/>
      <c r="S697" s="48">
        <f t="shared" si="493"/>
        <v>0</v>
      </c>
      <c r="T697" s="48">
        <f t="shared" ca="1" si="467"/>
        <v>1044400</v>
      </c>
      <c r="U697" s="28" t="s">
        <v>1390</v>
      </c>
      <c r="V697" s="143">
        <v>81</v>
      </c>
      <c r="W697" s="28">
        <v>1434</v>
      </c>
      <c r="X697" s="105">
        <v>1.37</v>
      </c>
      <c r="Y697" s="105">
        <v>9.11</v>
      </c>
      <c r="Z697" s="73" t="s">
        <v>464</v>
      </c>
      <c r="AA697" s="28"/>
    </row>
    <row r="698" spans="1:27" x14ac:dyDescent="0.25">
      <c r="A698"/>
      <c r="B698" s="103" t="s">
        <v>1386</v>
      </c>
      <c r="C698" s="75" t="s">
        <v>542</v>
      </c>
      <c r="D698" s="75" t="s">
        <v>543</v>
      </c>
      <c r="E698" s="28">
        <f t="shared" si="250"/>
        <v>92102</v>
      </c>
      <c r="F698" s="143" t="str">
        <f>INDEX(PV_Summary!$B$18:$B$118,MATCH($E698,PV_Summary!$A$18:$A$118,0))</f>
        <v>S</v>
      </c>
      <c r="G698" s="123">
        <v>32.712730200000003</v>
      </c>
      <c r="H698" s="61">
        <v>-117.1164948</v>
      </c>
      <c r="I698" s="44" t="s">
        <v>210</v>
      </c>
      <c r="J698" s="46">
        <f t="shared" si="492"/>
        <v>0.75</v>
      </c>
      <c r="K698" s="100" t="s">
        <v>157</v>
      </c>
      <c r="L698" s="44" t="str">
        <f>IF(O698&gt;1,"Total","")</f>
        <v/>
      </c>
      <c r="M698" s="46">
        <f t="shared" si="468"/>
        <v>0.75</v>
      </c>
      <c r="N698" s="46"/>
      <c r="O698" s="41">
        <f t="shared" si="466"/>
        <v>0</v>
      </c>
      <c r="Q698" s="44" t="s">
        <v>172</v>
      </c>
      <c r="S698" s="48">
        <f t="shared" si="493"/>
        <v>0</v>
      </c>
      <c r="T698" s="48">
        <f t="shared" ref="T698:T708" si="494">SUMIF($C:$C,$C698,$S:$S)*IF($O698&gt;=1,1,0)</f>
        <v>0</v>
      </c>
      <c r="V698" s="143">
        <v>81</v>
      </c>
      <c r="W698" s="28">
        <v>1434</v>
      </c>
      <c r="X698" s="105">
        <v>1.37</v>
      </c>
      <c r="Y698" s="105">
        <v>9.11</v>
      </c>
      <c r="Z698" s="73" t="s">
        <v>464</v>
      </c>
      <c r="AA698" s="28">
        <v>0</v>
      </c>
    </row>
    <row r="699" spans="1:27" x14ac:dyDescent="0.25">
      <c r="A699" s="4"/>
      <c r="B699" s="103" t="s">
        <v>1387</v>
      </c>
      <c r="C699" s="75" t="s">
        <v>542</v>
      </c>
      <c r="D699" s="75" t="s">
        <v>543</v>
      </c>
      <c r="E699" s="28">
        <f t="shared" si="250"/>
        <v>92102</v>
      </c>
      <c r="F699" s="143" t="str">
        <f>INDEX(PV_Summary!$B$18:$B$118,MATCH($E699,PV_Summary!$A$18:$A$118,0))</f>
        <v>S</v>
      </c>
      <c r="G699" s="123">
        <v>32.712653000000003</v>
      </c>
      <c r="H699" s="61">
        <v>-117.11523200000001</v>
      </c>
      <c r="I699" s="44" t="s">
        <v>3</v>
      </c>
      <c r="J699" s="46">
        <f t="shared" si="492"/>
        <v>0.75</v>
      </c>
      <c r="K699" s="100"/>
      <c r="L699" s="44"/>
      <c r="M699" s="46">
        <f t="shared" si="468"/>
        <v>0.75</v>
      </c>
      <c r="N699" s="46"/>
      <c r="O699" s="41">
        <f t="shared" si="466"/>
        <v>0</v>
      </c>
      <c r="P699" s="42">
        <v>87700</v>
      </c>
      <c r="Q699" s="44" t="s">
        <v>3</v>
      </c>
      <c r="R699" s="28" t="s">
        <v>55</v>
      </c>
      <c r="S699" s="48">
        <f t="shared" si="493"/>
        <v>613900</v>
      </c>
      <c r="T699" s="48">
        <f t="shared" si="494"/>
        <v>0</v>
      </c>
      <c r="V699" s="143">
        <v>81</v>
      </c>
      <c r="W699" s="28">
        <v>1434</v>
      </c>
      <c r="X699" s="105">
        <v>1.37</v>
      </c>
      <c r="Y699" s="105">
        <v>9.11</v>
      </c>
      <c r="Z699" s="73" t="s">
        <v>464</v>
      </c>
      <c r="AA699" s="28">
        <v>100</v>
      </c>
    </row>
    <row r="700" spans="1:27" x14ac:dyDescent="0.25">
      <c r="A700" s="4"/>
      <c r="B700" s="103" t="s">
        <v>1388</v>
      </c>
      <c r="C700" s="75" t="s">
        <v>542</v>
      </c>
      <c r="D700" s="75" t="s">
        <v>543</v>
      </c>
      <c r="E700" s="28">
        <f t="shared" si="250"/>
        <v>92102</v>
      </c>
      <c r="F700" s="143" t="str">
        <f>INDEX(PV_Summary!$B$18:$B$118,MATCH($E700,PV_Summary!$A$18:$A$118,0))</f>
        <v>S</v>
      </c>
      <c r="G700" s="123">
        <v>32.712009999999999</v>
      </c>
      <c r="H700" s="61">
        <v>-117.116527</v>
      </c>
      <c r="I700" s="44" t="s">
        <v>3</v>
      </c>
      <c r="J700" s="46">
        <f t="shared" si="492"/>
        <v>0.75</v>
      </c>
      <c r="K700" s="100"/>
      <c r="L700" s="44"/>
      <c r="M700" s="46">
        <f t="shared" si="468"/>
        <v>0.75</v>
      </c>
      <c r="N700" s="46"/>
      <c r="O700" s="41">
        <f t="shared" si="466"/>
        <v>0</v>
      </c>
      <c r="P700" s="42">
        <v>48500</v>
      </c>
      <c r="Q700" s="44" t="s">
        <v>3</v>
      </c>
      <c r="R700" s="28" t="s">
        <v>55</v>
      </c>
      <c r="S700" s="48">
        <f t="shared" si="493"/>
        <v>339500</v>
      </c>
      <c r="T700" s="48">
        <f t="shared" si="494"/>
        <v>0</v>
      </c>
      <c r="V700" s="143">
        <v>81</v>
      </c>
      <c r="W700" s="28">
        <v>1434</v>
      </c>
      <c r="X700" s="105">
        <v>1.37</v>
      </c>
      <c r="Y700" s="105">
        <v>9.11</v>
      </c>
      <c r="Z700" s="73" t="s">
        <v>464</v>
      </c>
      <c r="AA700" s="28">
        <v>200</v>
      </c>
    </row>
    <row r="701" spans="1:27" x14ac:dyDescent="0.25">
      <c r="A701" s="4"/>
      <c r="B701" s="103" t="s">
        <v>1389</v>
      </c>
      <c r="C701" s="75" t="s">
        <v>542</v>
      </c>
      <c r="D701" s="75" t="s">
        <v>543</v>
      </c>
      <c r="E701" s="28">
        <f t="shared" si="250"/>
        <v>92102</v>
      </c>
      <c r="F701" s="143" t="str">
        <f>INDEX(PV_Summary!$B$18:$B$118,MATCH($E701,PV_Summary!$A$18:$A$118,0))</f>
        <v>S</v>
      </c>
      <c r="G701" s="123">
        <v>32.712890999999999</v>
      </c>
      <c r="H701" s="61">
        <v>-117.117513</v>
      </c>
      <c r="I701" s="44" t="s">
        <v>3</v>
      </c>
      <c r="J701" s="46">
        <f t="shared" si="492"/>
        <v>0.75</v>
      </c>
      <c r="K701" s="100"/>
      <c r="L701" s="44"/>
      <c r="M701" s="46">
        <f t="shared" si="468"/>
        <v>0.75</v>
      </c>
      <c r="N701" s="46"/>
      <c r="O701" s="41">
        <f t="shared" si="466"/>
        <v>0</v>
      </c>
      <c r="P701" s="42">
        <v>13000</v>
      </c>
      <c r="Q701" s="44" t="s">
        <v>3</v>
      </c>
      <c r="R701" s="28" t="s">
        <v>55</v>
      </c>
      <c r="S701" s="48">
        <f t="shared" si="493"/>
        <v>91000</v>
      </c>
      <c r="T701" s="48">
        <f t="shared" si="494"/>
        <v>0</v>
      </c>
      <c r="V701" s="143">
        <v>81</v>
      </c>
      <c r="W701" s="28">
        <v>1434</v>
      </c>
      <c r="X701" s="105">
        <v>1.37</v>
      </c>
      <c r="Y701" s="105">
        <v>9.11</v>
      </c>
      <c r="Z701" s="73" t="s">
        <v>464</v>
      </c>
      <c r="AA701" s="28">
        <v>300</v>
      </c>
    </row>
    <row r="702" spans="1:27" x14ac:dyDescent="0.25">
      <c r="A702"/>
      <c r="B702" s="78" t="s">
        <v>535</v>
      </c>
      <c r="C702" s="75" t="s">
        <v>536</v>
      </c>
      <c r="D702" s="75" t="s">
        <v>523</v>
      </c>
      <c r="E702" s="28">
        <f t="shared" si="250"/>
        <v>92113</v>
      </c>
      <c r="F702" s="143" t="str">
        <f>INDEX(PV_Summary!$B$18:$B$118,MATCH($E702,PV_Summary!$A$18:$A$118,0))</f>
        <v>S</v>
      </c>
      <c r="G702" s="123">
        <v>32.703055999999997</v>
      </c>
      <c r="H702" s="61">
        <v>-117.10203799999999</v>
      </c>
      <c r="I702" s="44" t="s">
        <v>62</v>
      </c>
      <c r="J702" s="46">
        <f t="shared" ref="J702:J707" ca="1" si="495">IF(O702&gt;1,Sym_Scl_Aggr_Parent,IF(O702&lt;1,Sym_Scl_Aggr_Child,Sym_Scl_Normal))</f>
        <v>1.5</v>
      </c>
      <c r="K702" s="100"/>
      <c r="L702" s="44" t="str">
        <f t="shared" ref="L702:L707" ca="1" si="496">IF(O702&gt;1,"Total","")</f>
        <v>Total</v>
      </c>
      <c r="M702" s="46">
        <f t="shared" ref="M702:M707" ca="1" si="497">IF(O702&gt;1,Label_Scl_Aggr_Parent,IF(O702&lt;1,Label_Scl_Aggr_Child,Label_Scl_Normal))</f>
        <v>1.25</v>
      </c>
      <c r="N702" s="46"/>
      <c r="O702" s="41">
        <f t="shared" ca="1" si="466"/>
        <v>6</v>
      </c>
      <c r="Q702" s="44"/>
      <c r="S702" s="48">
        <f t="shared" si="493"/>
        <v>0</v>
      </c>
      <c r="T702" s="48">
        <f t="shared" ca="1" si="494"/>
        <v>2459500</v>
      </c>
      <c r="V702" s="143">
        <v>86</v>
      </c>
      <c r="W702" s="28">
        <v>323</v>
      </c>
      <c r="X702" s="105">
        <v>1.33</v>
      </c>
      <c r="Y702" s="105">
        <v>8.8699999999999992</v>
      </c>
      <c r="Z702" s="73" t="s">
        <v>602</v>
      </c>
      <c r="AA702" s="28">
        <v>0</v>
      </c>
    </row>
    <row r="703" spans="1:27" x14ac:dyDescent="0.25">
      <c r="A703"/>
      <c r="B703" s="103" t="s">
        <v>513</v>
      </c>
      <c r="C703" s="75" t="s">
        <v>536</v>
      </c>
      <c r="D703" s="75" t="s">
        <v>523</v>
      </c>
      <c r="E703" s="28">
        <f t="shared" si="250"/>
        <v>92113</v>
      </c>
      <c r="F703" s="143" t="str">
        <f>INDEX(PV_Summary!$B$18:$B$118,MATCH($E703,PV_Summary!$A$18:$A$118,0))</f>
        <v>S</v>
      </c>
      <c r="G703" s="123">
        <v>32.701953400000001</v>
      </c>
      <c r="H703" s="61">
        <v>-117.1014315</v>
      </c>
      <c r="I703" s="44" t="s">
        <v>37</v>
      </c>
      <c r="J703" s="46">
        <f t="shared" si="495"/>
        <v>0.75</v>
      </c>
      <c r="K703" s="100"/>
      <c r="L703" s="44" t="str">
        <f t="shared" si="496"/>
        <v/>
      </c>
      <c r="M703" s="46">
        <f t="shared" si="497"/>
        <v>0.75</v>
      </c>
      <c r="N703" s="46"/>
      <c r="O703" s="41">
        <f t="shared" si="466"/>
        <v>0</v>
      </c>
      <c r="P703" s="42">
        <v>106000</v>
      </c>
      <c r="Q703" s="44" t="s">
        <v>37</v>
      </c>
      <c r="R703" s="28" t="s">
        <v>55</v>
      </c>
      <c r="S703" s="48">
        <f t="shared" ref="S703:S707" si="498">IF(ISNUMBER(FIND("Existing",$Q703)),0,IF($P703=0,0,INDEX(PV_W_Type_Rating_Tbl,MATCH($Q703,PV_Type_List,0),MATCH($R703,Rating_List,0)+4*DC_AC_Num)*$P703))</f>
        <v>742000</v>
      </c>
      <c r="T703" s="48">
        <f t="shared" si="494"/>
        <v>0</v>
      </c>
      <c r="V703" s="143">
        <v>86</v>
      </c>
      <c r="W703" s="28">
        <v>323</v>
      </c>
      <c r="X703" s="105">
        <v>1.33</v>
      </c>
      <c r="Y703" s="105">
        <v>8.8699999999999992</v>
      </c>
      <c r="Z703" s="73" t="s">
        <v>602</v>
      </c>
      <c r="AA703" s="28">
        <v>0</v>
      </c>
    </row>
    <row r="704" spans="1:27" x14ac:dyDescent="0.25">
      <c r="A704"/>
      <c r="B704" s="98" t="s">
        <v>537</v>
      </c>
      <c r="C704" s="75" t="s">
        <v>536</v>
      </c>
      <c r="D704" s="28" t="s">
        <v>523</v>
      </c>
      <c r="E704" s="28">
        <f t="shared" si="250"/>
        <v>92113</v>
      </c>
      <c r="F704" s="143" t="str">
        <f>INDEX(PV_Summary!$B$18:$B$118,MATCH($E704,PV_Summary!$A$18:$A$118,0))</f>
        <v>S</v>
      </c>
      <c r="G704" s="123">
        <v>32.702936999999999</v>
      </c>
      <c r="H704" s="61">
        <v>-117.100059</v>
      </c>
      <c r="I704" s="44" t="s">
        <v>37</v>
      </c>
      <c r="J704" s="46">
        <f t="shared" si="495"/>
        <v>0.75</v>
      </c>
      <c r="K704" s="100"/>
      <c r="L704" s="44" t="str">
        <f t="shared" si="496"/>
        <v/>
      </c>
      <c r="M704" s="46">
        <f t="shared" si="497"/>
        <v>0.75</v>
      </c>
      <c r="N704" s="46"/>
      <c r="O704" s="41">
        <f t="shared" si="466"/>
        <v>0</v>
      </c>
      <c r="P704" s="42">
        <v>18500</v>
      </c>
      <c r="Q704" s="44" t="s">
        <v>37</v>
      </c>
      <c r="R704" s="28" t="s">
        <v>56</v>
      </c>
      <c r="S704" s="48">
        <f t="shared" si="498"/>
        <v>111000</v>
      </c>
      <c r="T704" s="48">
        <f t="shared" si="494"/>
        <v>0</v>
      </c>
      <c r="V704" s="143">
        <v>86</v>
      </c>
      <c r="W704" s="28">
        <v>323</v>
      </c>
      <c r="X704" s="105">
        <v>1.33</v>
      </c>
      <c r="Y704" s="105">
        <v>8.8699999999999992</v>
      </c>
      <c r="Z704" s="73" t="s">
        <v>602</v>
      </c>
      <c r="AA704" s="28">
        <v>0</v>
      </c>
    </row>
    <row r="705" spans="1:27" x14ac:dyDescent="0.25">
      <c r="A705"/>
      <c r="B705" s="98" t="s">
        <v>538</v>
      </c>
      <c r="C705" s="75" t="s">
        <v>536</v>
      </c>
      <c r="D705" s="28" t="s">
        <v>523</v>
      </c>
      <c r="E705" s="28">
        <f t="shared" si="250"/>
        <v>92113</v>
      </c>
      <c r="F705" s="143" t="str">
        <f>INDEX(PV_Summary!$B$18:$B$118,MATCH($E705,PV_Summary!$A$18:$A$118,0))</f>
        <v>S</v>
      </c>
      <c r="G705" s="123">
        <v>32.703322999999997</v>
      </c>
      <c r="H705" s="61">
        <v>-117.10076100000001</v>
      </c>
      <c r="I705" s="44" t="s">
        <v>3</v>
      </c>
      <c r="J705" s="46">
        <f t="shared" si="495"/>
        <v>0.75</v>
      </c>
      <c r="K705" s="100"/>
      <c r="L705" s="44" t="str">
        <f t="shared" si="496"/>
        <v/>
      </c>
      <c r="M705" s="46">
        <f t="shared" si="497"/>
        <v>0.75</v>
      </c>
      <c r="N705" s="46"/>
      <c r="O705" s="41">
        <f t="shared" si="466"/>
        <v>0</v>
      </c>
      <c r="P705" s="42">
        <v>38500</v>
      </c>
      <c r="Q705" s="44" t="s">
        <v>3</v>
      </c>
      <c r="R705" s="28" t="s">
        <v>55</v>
      </c>
      <c r="S705" s="48">
        <f t="shared" si="498"/>
        <v>269500</v>
      </c>
      <c r="T705" s="48">
        <f t="shared" si="494"/>
        <v>0</v>
      </c>
      <c r="V705" s="143">
        <v>86</v>
      </c>
      <c r="W705" s="28">
        <v>323</v>
      </c>
      <c r="X705" s="105">
        <v>1.33</v>
      </c>
      <c r="Y705" s="105">
        <v>8.8699999999999992</v>
      </c>
      <c r="Z705" s="73" t="s">
        <v>602</v>
      </c>
      <c r="AA705" s="28">
        <v>0</v>
      </c>
    </row>
    <row r="706" spans="1:27" x14ac:dyDescent="0.25">
      <c r="A706"/>
      <c r="B706" s="98" t="s">
        <v>539</v>
      </c>
      <c r="C706" s="75" t="s">
        <v>536</v>
      </c>
      <c r="D706" s="28" t="s">
        <v>523</v>
      </c>
      <c r="E706" s="28">
        <f t="shared" si="250"/>
        <v>92113</v>
      </c>
      <c r="F706" s="143" t="str">
        <f>INDEX(PV_Summary!$B$18:$B$118,MATCH($E706,PV_Summary!$A$18:$A$118,0))</f>
        <v>S</v>
      </c>
      <c r="G706" s="123">
        <v>32.702694999999999</v>
      </c>
      <c r="H706" s="61">
        <v>-117.10099700000001</v>
      </c>
      <c r="I706" s="44" t="s">
        <v>3</v>
      </c>
      <c r="J706" s="46">
        <f t="shared" si="495"/>
        <v>0.75</v>
      </c>
      <c r="K706" s="100"/>
      <c r="L706" s="44" t="str">
        <f t="shared" si="496"/>
        <v/>
      </c>
      <c r="M706" s="46">
        <f t="shared" si="497"/>
        <v>0.75</v>
      </c>
      <c r="N706" s="46"/>
      <c r="O706" s="41">
        <f t="shared" si="466"/>
        <v>0</v>
      </c>
      <c r="P706" s="42">
        <v>148000</v>
      </c>
      <c r="Q706" s="44" t="s">
        <v>3</v>
      </c>
      <c r="R706" s="28" t="s">
        <v>55</v>
      </c>
      <c r="S706" s="48">
        <f t="shared" si="498"/>
        <v>1036000</v>
      </c>
      <c r="T706" s="48">
        <f t="shared" si="494"/>
        <v>0</v>
      </c>
      <c r="V706" s="143">
        <v>86</v>
      </c>
      <c r="W706" s="28">
        <v>323</v>
      </c>
      <c r="X706" s="105">
        <v>1.33</v>
      </c>
      <c r="Y706" s="105">
        <v>8.8699999999999992</v>
      </c>
      <c r="Z706" s="73" t="s">
        <v>602</v>
      </c>
      <c r="AA706" s="28">
        <v>0</v>
      </c>
    </row>
    <row r="707" spans="1:27" x14ac:dyDescent="0.25">
      <c r="A707"/>
      <c r="B707" s="98" t="s">
        <v>540</v>
      </c>
      <c r="C707" s="75" t="s">
        <v>536</v>
      </c>
      <c r="D707" s="28" t="s">
        <v>523</v>
      </c>
      <c r="E707" s="28">
        <f t="shared" si="250"/>
        <v>92113</v>
      </c>
      <c r="F707" s="143" t="str">
        <f>INDEX(PV_Summary!$B$18:$B$118,MATCH($E707,PV_Summary!$A$18:$A$118,0))</f>
        <v>S</v>
      </c>
      <c r="G707" s="123">
        <v>32.703186000000002</v>
      </c>
      <c r="H707" s="61">
        <v>-117.102699</v>
      </c>
      <c r="I707" s="44" t="s">
        <v>3</v>
      </c>
      <c r="J707" s="46">
        <f t="shared" si="495"/>
        <v>0.75</v>
      </c>
      <c r="K707" s="100"/>
      <c r="L707" s="44" t="str">
        <f t="shared" si="496"/>
        <v/>
      </c>
      <c r="M707" s="46">
        <f t="shared" si="497"/>
        <v>0.75</v>
      </c>
      <c r="N707" s="46"/>
      <c r="O707" s="41">
        <f t="shared" si="466"/>
        <v>0</v>
      </c>
      <c r="P707" s="42">
        <v>43000</v>
      </c>
      <c r="Q707" s="44" t="s">
        <v>3</v>
      </c>
      <c r="R707" s="28" t="s">
        <v>55</v>
      </c>
      <c r="S707" s="48">
        <f t="shared" si="498"/>
        <v>301000</v>
      </c>
      <c r="T707" s="48">
        <f t="shared" si="494"/>
        <v>0</v>
      </c>
      <c r="V707" s="143">
        <v>86</v>
      </c>
      <c r="W707" s="28">
        <v>323</v>
      </c>
      <c r="X707" s="105">
        <v>1.33</v>
      </c>
      <c r="Y707" s="105">
        <v>8.8699999999999992</v>
      </c>
      <c r="Z707" s="73" t="s">
        <v>602</v>
      </c>
      <c r="AA707" s="28">
        <v>0</v>
      </c>
    </row>
    <row r="708" spans="1:27" x14ac:dyDescent="0.25">
      <c r="A708"/>
      <c r="B708" s="28" t="s">
        <v>534</v>
      </c>
      <c r="C708" s="75" t="s">
        <v>533</v>
      </c>
      <c r="D708" s="28" t="s">
        <v>523</v>
      </c>
      <c r="E708" s="28">
        <f t="shared" si="250"/>
        <v>92113</v>
      </c>
      <c r="F708" s="143" t="str">
        <f>INDEX(PV_Summary!$B$18:$B$118,MATCH($E708,PV_Summary!$A$18:$A$118,0))</f>
        <v>S</v>
      </c>
      <c r="G708" s="123">
        <v>32.689281999999999</v>
      </c>
      <c r="H708" s="61">
        <v>-117.118798</v>
      </c>
      <c r="I708" s="44" t="s">
        <v>37</v>
      </c>
      <c r="J708" s="46">
        <f t="shared" ref="J708:J714" ca="1" si="499">IF(O708&gt;1,Sym_Scl_Aggr_Parent,IF(O708&lt;1,Sym_Scl_Aggr_Child,Sym_Scl_Normal))</f>
        <v>1</v>
      </c>
      <c r="K708" s="100"/>
      <c r="L708" s="44" t="str">
        <f ca="1">IF(O708&gt;1,"Total","")</f>
        <v/>
      </c>
      <c r="M708" s="46">
        <f t="shared" ref="M708:M714" ca="1" si="500">IF(O708&gt;1,Label_Scl_Aggr_Parent,IF(O708&lt;1,Label_Scl_Aggr_Child,Label_Scl_Normal))</f>
        <v>1</v>
      </c>
      <c r="N708" s="46"/>
      <c r="O708" s="41">
        <f t="shared" ca="1" si="466"/>
        <v>1</v>
      </c>
      <c r="P708" s="42">
        <v>127000</v>
      </c>
      <c r="Q708" s="44" t="s">
        <v>37</v>
      </c>
      <c r="R708" s="28" t="s">
        <v>55</v>
      </c>
      <c r="S708" s="48">
        <f t="shared" ref="S708:S740" si="501">IF(ISNUMBER(FIND("Existing",$Q708)),0,IF($P708=0,0,INDEX(PV_W_Type_Rating_Tbl,MATCH($Q708,PV_Type_List,0),MATCH($R708,Rating_List,0)+4*DC_AC_Num)*$P708))</f>
        <v>889000</v>
      </c>
      <c r="T708" s="48">
        <f t="shared" ca="1" si="494"/>
        <v>889000</v>
      </c>
      <c r="V708" s="143">
        <v>96</v>
      </c>
      <c r="W708" s="28">
        <v>130</v>
      </c>
      <c r="X708" s="105">
        <v>1.35</v>
      </c>
      <c r="Y708" s="105">
        <v>9.02</v>
      </c>
      <c r="Z708" s="73" t="s">
        <v>603</v>
      </c>
      <c r="AA708" s="28">
        <v>0</v>
      </c>
    </row>
    <row r="709" spans="1:27" x14ac:dyDescent="0.25">
      <c r="A709" s="4"/>
      <c r="B709" s="28" t="s">
        <v>557</v>
      </c>
      <c r="C709" s="75" t="s">
        <v>609</v>
      </c>
      <c r="D709" s="28" t="s">
        <v>523</v>
      </c>
      <c r="E709" s="28">
        <f t="shared" si="250"/>
        <v>92113</v>
      </c>
      <c r="F709" s="143" t="str">
        <f>INDEX(PV_Summary!$B$18:$B$118,MATCH($E709,PV_Summary!$A$18:$A$118,0))</f>
        <v>S</v>
      </c>
      <c r="G709" s="123">
        <v>32.694197000000003</v>
      </c>
      <c r="H709" s="61">
        <v>-117.14035199999999</v>
      </c>
      <c r="I709" s="44" t="s">
        <v>3</v>
      </c>
      <c r="J709" s="46">
        <f t="shared" ca="1" si="499"/>
        <v>1</v>
      </c>
      <c r="K709" s="100"/>
      <c r="L709" s="44"/>
      <c r="M709" s="46">
        <f t="shared" ca="1" si="500"/>
        <v>1</v>
      </c>
      <c r="N709" s="46"/>
      <c r="O709" s="41">
        <f t="shared" ca="1" si="466"/>
        <v>1</v>
      </c>
      <c r="P709" s="42">
        <v>216000</v>
      </c>
      <c r="Q709" s="44" t="s">
        <v>3</v>
      </c>
      <c r="R709" s="28" t="s">
        <v>55</v>
      </c>
      <c r="S709" s="48">
        <v>1512000</v>
      </c>
      <c r="T709" s="48">
        <v>1512000</v>
      </c>
      <c r="V709" s="143">
        <v>96</v>
      </c>
      <c r="W709" s="28">
        <v>130</v>
      </c>
      <c r="X709" s="105">
        <v>1.35</v>
      </c>
      <c r="Y709" s="105">
        <v>9.02</v>
      </c>
      <c r="Z709" s="73" t="s">
        <v>603</v>
      </c>
      <c r="AA709" s="28">
        <v>50</v>
      </c>
    </row>
    <row r="710" spans="1:27" x14ac:dyDescent="0.25">
      <c r="A710" s="4"/>
      <c r="B710" s="28" t="s">
        <v>558</v>
      </c>
      <c r="C710" s="75" t="s">
        <v>605</v>
      </c>
      <c r="D710" s="28" t="s">
        <v>523</v>
      </c>
      <c r="E710" s="28">
        <f t="shared" si="250"/>
        <v>92113</v>
      </c>
      <c r="F710" s="143" t="str">
        <f>INDEX(PV_Summary!$B$18:$B$118,MATCH($E710,PV_Summary!$A$18:$A$118,0))</f>
        <v>S</v>
      </c>
      <c r="G710" s="123">
        <v>32.691198</v>
      </c>
      <c r="H710" s="61">
        <v>-117.132746</v>
      </c>
      <c r="I710" s="44" t="s">
        <v>206</v>
      </c>
      <c r="J710" s="46">
        <f t="shared" ca="1" si="499"/>
        <v>1.5</v>
      </c>
      <c r="K710" s="100"/>
      <c r="L710" s="44" t="str">
        <f ca="1">IF(O710&gt;1,"Total","")</f>
        <v>Total</v>
      </c>
      <c r="M710" s="46">
        <f t="shared" ca="1" si="500"/>
        <v>1.25</v>
      </c>
      <c r="N710" s="46"/>
      <c r="O710" s="41">
        <f t="shared" ca="1" si="466"/>
        <v>14</v>
      </c>
      <c r="Q710" s="44"/>
      <c r="S710" s="48">
        <f t="shared" si="501"/>
        <v>0</v>
      </c>
      <c r="T710" s="48">
        <f t="shared" ref="T710:T741" ca="1" si="502">SUMIF($C:$C,$C710,$S:$S)*IF($O710&gt;=1,1,0)</f>
        <v>2586500</v>
      </c>
      <c r="U710" s="28" t="s">
        <v>1393</v>
      </c>
      <c r="V710" s="143">
        <v>86</v>
      </c>
      <c r="W710" s="28" t="s">
        <v>604</v>
      </c>
      <c r="X710" s="105"/>
      <c r="Y710" s="105"/>
      <c r="Z710" s="73" t="s">
        <v>603</v>
      </c>
      <c r="AA710" s="28"/>
    </row>
    <row r="711" spans="1:27" x14ac:dyDescent="0.25">
      <c r="A711" s="4"/>
      <c r="B711" s="98" t="s">
        <v>559</v>
      </c>
      <c r="C711" s="75" t="s">
        <v>605</v>
      </c>
      <c r="D711" s="28" t="s">
        <v>523</v>
      </c>
      <c r="E711" s="28">
        <f t="shared" si="250"/>
        <v>92113</v>
      </c>
      <c r="F711" s="143" t="str">
        <f>INDEX(PV_Summary!$B$18:$B$118,MATCH($E711,PV_Summary!$A$18:$A$118,0))</f>
        <v>S</v>
      </c>
      <c r="G711" s="123">
        <v>32.692402999999999</v>
      </c>
      <c r="H711" s="61">
        <v>-117.138362</v>
      </c>
      <c r="I711" s="44" t="s">
        <v>3</v>
      </c>
      <c r="J711" s="46">
        <f t="shared" si="499"/>
        <v>0.75</v>
      </c>
      <c r="K711" s="100"/>
      <c r="L711" s="44" t="str">
        <f>IF(O711&gt;1,"Total","")</f>
        <v/>
      </c>
      <c r="M711" s="46">
        <f t="shared" si="500"/>
        <v>0.75</v>
      </c>
      <c r="N711" s="46"/>
      <c r="O711" s="41">
        <f t="shared" si="466"/>
        <v>0</v>
      </c>
      <c r="P711" s="42">
        <v>20500</v>
      </c>
      <c r="Q711" s="44" t="s">
        <v>3</v>
      </c>
      <c r="R711" s="28" t="s">
        <v>55</v>
      </c>
      <c r="S711" s="48">
        <f t="shared" si="501"/>
        <v>143500</v>
      </c>
      <c r="T711" s="48">
        <f t="shared" si="502"/>
        <v>0</v>
      </c>
      <c r="V711" s="143">
        <v>96</v>
      </c>
      <c r="W711" s="28">
        <v>129</v>
      </c>
      <c r="X711" s="105">
        <v>1.44</v>
      </c>
      <c r="Y711" s="105">
        <v>9.66</v>
      </c>
      <c r="Z711" s="73" t="s">
        <v>603</v>
      </c>
      <c r="AA711" s="28">
        <v>50</v>
      </c>
    </row>
    <row r="712" spans="1:27" x14ac:dyDescent="0.25">
      <c r="A712" s="4"/>
      <c r="B712" s="98" t="s">
        <v>560</v>
      </c>
      <c r="C712" s="75" t="s">
        <v>605</v>
      </c>
      <c r="D712" s="28" t="s">
        <v>523</v>
      </c>
      <c r="E712" s="28">
        <f>RIGHT(TRIM(D712),5)*1</f>
        <v>92113</v>
      </c>
      <c r="F712" s="143" t="str">
        <f>INDEX(PV_Summary!$B$18:$B$118,MATCH($E712,PV_Summary!$A$18:$A$118,0))</f>
        <v>S</v>
      </c>
      <c r="G712" s="123">
        <v>32.691980000000001</v>
      </c>
      <c r="H712" s="61">
        <v>-117.13703</v>
      </c>
      <c r="I712" s="44" t="s">
        <v>3</v>
      </c>
      <c r="J712" s="46">
        <f t="shared" si="499"/>
        <v>0.75</v>
      </c>
      <c r="K712" s="100"/>
      <c r="L712" s="44" t="str">
        <f>IF(O712&gt;1,"Total","")</f>
        <v/>
      </c>
      <c r="M712" s="46">
        <f t="shared" si="500"/>
        <v>0.75</v>
      </c>
      <c r="N712" s="46"/>
      <c r="O712" s="41">
        <f t="shared" si="466"/>
        <v>0</v>
      </c>
      <c r="P712" s="42">
        <v>26000</v>
      </c>
      <c r="Q712" s="44" t="s">
        <v>3</v>
      </c>
      <c r="R712" s="28" t="s">
        <v>55</v>
      </c>
      <c r="S712" s="48">
        <f t="shared" si="501"/>
        <v>182000</v>
      </c>
      <c r="T712" s="48">
        <f t="shared" si="502"/>
        <v>0</v>
      </c>
      <c r="V712" s="143">
        <v>96</v>
      </c>
      <c r="W712" s="28">
        <v>129</v>
      </c>
      <c r="X712" s="105">
        <v>1.44</v>
      </c>
      <c r="Y712" s="105">
        <v>9.66</v>
      </c>
      <c r="Z712" s="73" t="s">
        <v>603</v>
      </c>
      <c r="AA712" s="28">
        <v>100</v>
      </c>
    </row>
    <row r="713" spans="1:27" x14ac:dyDescent="0.25">
      <c r="A713" s="4"/>
      <c r="B713" s="98" t="s">
        <v>561</v>
      </c>
      <c r="C713" s="75" t="s">
        <v>605</v>
      </c>
      <c r="D713" s="28" t="s">
        <v>523</v>
      </c>
      <c r="E713" s="28">
        <f>RIGHT(TRIM(D713),5)*1</f>
        <v>92113</v>
      </c>
      <c r="F713" s="143" t="str">
        <f>INDEX(PV_Summary!$B$18:$B$118,MATCH($E713,PV_Summary!$A$18:$A$118,0))</f>
        <v>S</v>
      </c>
      <c r="G713" s="123">
        <v>32.691723000000003</v>
      </c>
      <c r="H713" s="61">
        <v>-117.134998</v>
      </c>
      <c r="I713" s="44" t="s">
        <v>3</v>
      </c>
      <c r="J713" s="46">
        <f t="shared" si="499"/>
        <v>0.75</v>
      </c>
      <c r="K713" s="100"/>
      <c r="L713" s="44" t="str">
        <f>IF(O713&gt;1,"Total","")</f>
        <v/>
      </c>
      <c r="M713" s="46">
        <f t="shared" si="500"/>
        <v>0.75</v>
      </c>
      <c r="N713" s="46"/>
      <c r="O713" s="41">
        <f t="shared" si="466"/>
        <v>0</v>
      </c>
      <c r="P713" s="42">
        <v>33000</v>
      </c>
      <c r="Q713" s="44" t="s">
        <v>3</v>
      </c>
      <c r="R713" s="28" t="s">
        <v>55</v>
      </c>
      <c r="S713" s="48">
        <f t="shared" si="501"/>
        <v>231000</v>
      </c>
      <c r="T713" s="48">
        <f t="shared" si="502"/>
        <v>0</v>
      </c>
      <c r="V713" s="143">
        <v>96</v>
      </c>
      <c r="W713" s="28">
        <v>128</v>
      </c>
      <c r="X713" s="105">
        <v>1.5</v>
      </c>
      <c r="Y713" s="105">
        <v>10</v>
      </c>
      <c r="Z713" s="73" t="s">
        <v>603</v>
      </c>
      <c r="AA713" s="28">
        <v>150</v>
      </c>
    </row>
    <row r="714" spans="1:27" x14ac:dyDescent="0.25">
      <c r="A714" s="4"/>
      <c r="B714" s="98" t="s">
        <v>562</v>
      </c>
      <c r="C714" s="75" t="s">
        <v>605</v>
      </c>
      <c r="D714" s="28" t="s">
        <v>523</v>
      </c>
      <c r="E714" s="28">
        <f>RIGHT(TRIM(D714),5)*1</f>
        <v>92113</v>
      </c>
      <c r="F714" s="143" t="str">
        <f>INDEX(PV_Summary!$B$18:$B$118,MATCH($E714,PV_Summary!$A$18:$A$118,0))</f>
        <v>S</v>
      </c>
      <c r="G714" s="123">
        <v>32.691541000000001</v>
      </c>
      <c r="H714" s="61">
        <v>-117.13538800000001</v>
      </c>
      <c r="I714" s="44" t="s">
        <v>3</v>
      </c>
      <c r="J714" s="46">
        <f t="shared" si="499"/>
        <v>0.75</v>
      </c>
      <c r="K714" s="100"/>
      <c r="L714" s="44" t="str">
        <f>IF(O714&gt;1,"Total","")</f>
        <v/>
      </c>
      <c r="M714" s="46">
        <f t="shared" si="500"/>
        <v>0.75</v>
      </c>
      <c r="N714" s="46"/>
      <c r="O714" s="41">
        <f t="shared" si="466"/>
        <v>0</v>
      </c>
      <c r="P714" s="42">
        <v>37000</v>
      </c>
      <c r="Q714" s="44" t="s">
        <v>3</v>
      </c>
      <c r="R714" s="28" t="s">
        <v>55</v>
      </c>
      <c r="S714" s="48">
        <f t="shared" si="501"/>
        <v>259000</v>
      </c>
      <c r="T714" s="48">
        <f t="shared" si="502"/>
        <v>0</v>
      </c>
      <c r="V714" s="143">
        <v>96</v>
      </c>
      <c r="W714" s="28">
        <v>128</v>
      </c>
      <c r="X714" s="105">
        <v>1.5</v>
      </c>
      <c r="Y714" s="105">
        <v>10</v>
      </c>
      <c r="Z714" s="73" t="s">
        <v>603</v>
      </c>
      <c r="AA714" s="28">
        <v>200</v>
      </c>
    </row>
    <row r="715" spans="1:27" x14ac:dyDescent="0.25">
      <c r="A715" s="4"/>
      <c r="B715" s="98" t="s">
        <v>563</v>
      </c>
      <c r="C715" s="75" t="s">
        <v>605</v>
      </c>
      <c r="D715" s="28" t="s">
        <v>523</v>
      </c>
      <c r="E715" s="28">
        <f t="shared" ref="E715:E720" si="503">RIGHT(TRIM(D715),5)*1</f>
        <v>92113</v>
      </c>
      <c r="F715" s="143" t="str">
        <f>INDEX(PV_Summary!$B$18:$B$118,MATCH($E715,PV_Summary!$A$18:$A$118,0))</f>
        <v>S</v>
      </c>
      <c r="G715" s="123">
        <v>32.691029</v>
      </c>
      <c r="H715" s="61">
        <v>-117.132065</v>
      </c>
      <c r="I715" s="44" t="s">
        <v>3</v>
      </c>
      <c r="J715" s="46">
        <f t="shared" ref="J715:J724" si="504">IF(O715&gt;1,Sym_Scl_Aggr_Parent,IF(O715&lt;1,Sym_Scl_Aggr_Child,Sym_Scl_Normal))</f>
        <v>0.75</v>
      </c>
      <c r="K715" s="100"/>
      <c r="L715" s="44" t="str">
        <f t="shared" ref="L715:L724" si="505">IF(O715&gt;1,"Total","")</f>
        <v/>
      </c>
      <c r="M715" s="46">
        <f t="shared" ref="M715:M724" si="506">IF(O715&gt;1,Label_Scl_Aggr_Parent,IF(O715&lt;1,Label_Scl_Aggr_Child,Label_Scl_Normal))</f>
        <v>0.75</v>
      </c>
      <c r="N715" s="46"/>
      <c r="O715" s="41">
        <f t="shared" si="466"/>
        <v>0</v>
      </c>
      <c r="P715" s="42">
        <v>22000</v>
      </c>
      <c r="Q715" s="44" t="s">
        <v>3</v>
      </c>
      <c r="R715" s="28" t="s">
        <v>55</v>
      </c>
      <c r="S715" s="48">
        <f t="shared" si="501"/>
        <v>154000</v>
      </c>
      <c r="T715" s="48">
        <f t="shared" si="502"/>
        <v>0</v>
      </c>
      <c r="U715" s="28" t="s">
        <v>1393</v>
      </c>
      <c r="V715" s="143">
        <v>86</v>
      </c>
      <c r="W715" s="28">
        <v>128</v>
      </c>
      <c r="X715" s="105">
        <v>1.5</v>
      </c>
      <c r="Y715" s="105">
        <v>10</v>
      </c>
      <c r="Z715" s="73" t="s">
        <v>603</v>
      </c>
      <c r="AA715" s="28">
        <v>250</v>
      </c>
    </row>
    <row r="716" spans="1:27" x14ac:dyDescent="0.25">
      <c r="A716" s="4"/>
      <c r="B716" s="98" t="s">
        <v>564</v>
      </c>
      <c r="C716" s="75" t="s">
        <v>605</v>
      </c>
      <c r="D716" s="28" t="s">
        <v>523</v>
      </c>
      <c r="E716" s="28">
        <f>RIGHT(TRIM(D716),5)*1</f>
        <v>92113</v>
      </c>
      <c r="F716" s="143" t="str">
        <f>INDEX(PV_Summary!$B$18:$B$118,MATCH($E716,PV_Summary!$A$18:$A$118,0))</f>
        <v>S</v>
      </c>
      <c r="G716" s="123">
        <v>32.689881</v>
      </c>
      <c r="H716" s="61">
        <v>-117.130157</v>
      </c>
      <c r="I716" s="44" t="s">
        <v>3</v>
      </c>
      <c r="J716" s="46">
        <f t="shared" si="504"/>
        <v>0.75</v>
      </c>
      <c r="K716" s="100"/>
      <c r="L716" s="44" t="str">
        <f t="shared" si="505"/>
        <v/>
      </c>
      <c r="M716" s="46">
        <f t="shared" si="506"/>
        <v>0.75</v>
      </c>
      <c r="N716" s="46"/>
      <c r="O716" s="41">
        <f t="shared" si="466"/>
        <v>0</v>
      </c>
      <c r="P716" s="42">
        <v>28000</v>
      </c>
      <c r="Q716" s="44" t="s">
        <v>3</v>
      </c>
      <c r="R716" s="28" t="s">
        <v>55</v>
      </c>
      <c r="S716" s="48">
        <f t="shared" si="501"/>
        <v>196000</v>
      </c>
      <c r="T716" s="48">
        <f t="shared" si="502"/>
        <v>0</v>
      </c>
      <c r="U716" s="28" t="s">
        <v>1393</v>
      </c>
      <c r="V716" s="143">
        <v>86</v>
      </c>
      <c r="W716" s="28">
        <v>128</v>
      </c>
      <c r="X716" s="105">
        <v>1.5</v>
      </c>
      <c r="Y716" s="105">
        <v>10</v>
      </c>
      <c r="Z716" s="73" t="s">
        <v>603</v>
      </c>
      <c r="AA716" s="28">
        <v>250</v>
      </c>
    </row>
    <row r="717" spans="1:27" x14ac:dyDescent="0.25">
      <c r="A717" s="4"/>
      <c r="B717" s="98" t="s">
        <v>565</v>
      </c>
      <c r="C717" s="75" t="s">
        <v>605</v>
      </c>
      <c r="D717" s="28" t="s">
        <v>523</v>
      </c>
      <c r="E717" s="28">
        <f>RIGHT(TRIM(D717),5)*1</f>
        <v>92113</v>
      </c>
      <c r="F717" s="143" t="str">
        <f>INDEX(PV_Summary!$B$18:$B$118,MATCH($E717,PV_Summary!$A$18:$A$118,0))</f>
        <v>S</v>
      </c>
      <c r="G717" s="123">
        <v>32.688696</v>
      </c>
      <c r="H717" s="61">
        <v>-117.12845</v>
      </c>
      <c r="I717" s="44" t="s">
        <v>3</v>
      </c>
      <c r="J717" s="46">
        <f t="shared" si="504"/>
        <v>0.75</v>
      </c>
      <c r="K717" s="100"/>
      <c r="L717" s="44" t="str">
        <f t="shared" si="505"/>
        <v/>
      </c>
      <c r="M717" s="46">
        <f t="shared" si="506"/>
        <v>0.75</v>
      </c>
      <c r="N717" s="46"/>
      <c r="O717" s="41">
        <f t="shared" si="466"/>
        <v>0</v>
      </c>
      <c r="P717" s="42">
        <v>20500</v>
      </c>
      <c r="Q717" s="44" t="s">
        <v>3</v>
      </c>
      <c r="R717" s="28" t="s">
        <v>55</v>
      </c>
      <c r="S717" s="48">
        <f t="shared" si="501"/>
        <v>143500</v>
      </c>
      <c r="T717" s="48">
        <f t="shared" si="502"/>
        <v>0</v>
      </c>
      <c r="U717" s="28" t="s">
        <v>1393</v>
      </c>
      <c r="V717" s="143">
        <v>86</v>
      </c>
      <c r="W717" s="28">
        <v>128</v>
      </c>
      <c r="X717" s="105">
        <v>1.5</v>
      </c>
      <c r="Y717" s="105">
        <v>10</v>
      </c>
      <c r="Z717" s="73" t="s">
        <v>603</v>
      </c>
      <c r="AA717" s="28">
        <v>250</v>
      </c>
    </row>
    <row r="718" spans="1:27" x14ac:dyDescent="0.25">
      <c r="A718" s="4"/>
      <c r="B718" s="98" t="s">
        <v>566</v>
      </c>
      <c r="C718" s="75" t="s">
        <v>605</v>
      </c>
      <c r="D718" s="28" t="s">
        <v>523</v>
      </c>
      <c r="E718" s="28">
        <f t="shared" si="503"/>
        <v>92113</v>
      </c>
      <c r="F718" s="143" t="str">
        <f>INDEX(PV_Summary!$B$18:$B$118,MATCH($E718,PV_Summary!$A$18:$A$118,0))</f>
        <v>S</v>
      </c>
      <c r="G718" s="123">
        <v>32.690835</v>
      </c>
      <c r="H718" s="61">
        <v>-117.13224700000001</v>
      </c>
      <c r="I718" s="44" t="s">
        <v>3</v>
      </c>
      <c r="J718" s="46">
        <f t="shared" si="504"/>
        <v>0.75</v>
      </c>
      <c r="K718" s="100"/>
      <c r="L718" s="44" t="str">
        <f t="shared" si="505"/>
        <v/>
      </c>
      <c r="M718" s="46">
        <f t="shared" si="506"/>
        <v>0.75</v>
      </c>
      <c r="N718" s="46"/>
      <c r="O718" s="41">
        <f t="shared" si="466"/>
        <v>0</v>
      </c>
      <c r="P718" s="42">
        <v>39000</v>
      </c>
      <c r="Q718" s="44" t="s">
        <v>3</v>
      </c>
      <c r="R718" s="28" t="s">
        <v>55</v>
      </c>
      <c r="S718" s="48">
        <f t="shared" si="501"/>
        <v>273000</v>
      </c>
      <c r="T718" s="48">
        <f t="shared" si="502"/>
        <v>0</v>
      </c>
      <c r="U718" s="28" t="s">
        <v>1393</v>
      </c>
      <c r="V718" s="143">
        <v>86</v>
      </c>
      <c r="W718" s="28">
        <v>128</v>
      </c>
      <c r="X718" s="105">
        <v>1.5</v>
      </c>
      <c r="Y718" s="105">
        <v>10</v>
      </c>
      <c r="Z718" s="73" t="s">
        <v>603</v>
      </c>
      <c r="AA718" s="28">
        <v>200</v>
      </c>
    </row>
    <row r="719" spans="1:27" x14ac:dyDescent="0.25">
      <c r="A719" s="4"/>
      <c r="B719" s="98" t="s">
        <v>567</v>
      </c>
      <c r="C719" s="75" t="s">
        <v>605</v>
      </c>
      <c r="D719" s="28" t="s">
        <v>523</v>
      </c>
      <c r="E719" s="28">
        <f t="shared" si="503"/>
        <v>92113</v>
      </c>
      <c r="F719" s="143" t="str">
        <f>INDEX(PV_Summary!$B$18:$B$118,MATCH($E719,PV_Summary!$A$18:$A$118,0))</f>
        <v>S</v>
      </c>
      <c r="G719" s="123">
        <v>32.689489999999999</v>
      </c>
      <c r="H719" s="61">
        <v>-117.13004599999999</v>
      </c>
      <c r="I719" s="44" t="s">
        <v>3</v>
      </c>
      <c r="J719" s="46">
        <f t="shared" si="504"/>
        <v>0.75</v>
      </c>
      <c r="K719" s="100"/>
      <c r="L719" s="44" t="str">
        <f t="shared" si="505"/>
        <v/>
      </c>
      <c r="M719" s="46">
        <f t="shared" si="506"/>
        <v>0.75</v>
      </c>
      <c r="N719" s="46"/>
      <c r="O719" s="41">
        <f t="shared" si="466"/>
        <v>0</v>
      </c>
      <c r="P719" s="42">
        <v>29000</v>
      </c>
      <c r="Q719" s="44" t="s">
        <v>3</v>
      </c>
      <c r="R719" s="28" t="s">
        <v>55</v>
      </c>
      <c r="S719" s="48">
        <f t="shared" si="501"/>
        <v>203000</v>
      </c>
      <c r="T719" s="48">
        <f t="shared" si="502"/>
        <v>0</v>
      </c>
      <c r="U719" s="28" t="s">
        <v>1393</v>
      </c>
      <c r="V719" s="143">
        <v>86</v>
      </c>
      <c r="W719" s="28">
        <v>128</v>
      </c>
      <c r="X719" s="105">
        <v>1.5</v>
      </c>
      <c r="Y719" s="105">
        <v>10</v>
      </c>
      <c r="Z719" s="73" t="s">
        <v>603</v>
      </c>
      <c r="AA719" s="28">
        <v>200</v>
      </c>
    </row>
    <row r="720" spans="1:27" x14ac:dyDescent="0.25">
      <c r="A720" s="4"/>
      <c r="B720" s="98" t="s">
        <v>568</v>
      </c>
      <c r="C720" s="75" t="s">
        <v>605</v>
      </c>
      <c r="D720" s="28" t="s">
        <v>523</v>
      </c>
      <c r="E720" s="28">
        <f t="shared" si="503"/>
        <v>92113</v>
      </c>
      <c r="F720" s="143" t="str">
        <f>INDEX(PV_Summary!$B$18:$B$118,MATCH($E720,PV_Summary!$A$18:$A$118,0))</f>
        <v>S</v>
      </c>
      <c r="G720" s="123">
        <v>32.688425000000002</v>
      </c>
      <c r="H720" s="61">
        <v>-117.128528</v>
      </c>
      <c r="I720" s="44" t="s">
        <v>3</v>
      </c>
      <c r="J720" s="46">
        <f t="shared" si="504"/>
        <v>0.75</v>
      </c>
      <c r="K720" s="100"/>
      <c r="L720" s="44" t="str">
        <f t="shared" si="505"/>
        <v/>
      </c>
      <c r="M720" s="46">
        <f t="shared" si="506"/>
        <v>0.75</v>
      </c>
      <c r="N720" s="46"/>
      <c r="O720" s="41">
        <f t="shared" si="466"/>
        <v>0</v>
      </c>
      <c r="P720" s="42">
        <v>30500</v>
      </c>
      <c r="Q720" s="44" t="s">
        <v>3</v>
      </c>
      <c r="R720" s="28" t="s">
        <v>55</v>
      </c>
      <c r="S720" s="48">
        <f t="shared" si="501"/>
        <v>213500</v>
      </c>
      <c r="T720" s="48">
        <f t="shared" si="502"/>
        <v>0</v>
      </c>
      <c r="U720" s="28" t="s">
        <v>1393</v>
      </c>
      <c r="V720" s="143">
        <v>86</v>
      </c>
      <c r="W720" s="28">
        <v>128</v>
      </c>
      <c r="X720" s="105">
        <v>1.5</v>
      </c>
      <c r="Y720" s="105">
        <v>10</v>
      </c>
      <c r="Z720" s="73" t="s">
        <v>603</v>
      </c>
      <c r="AA720" s="28">
        <v>200</v>
      </c>
    </row>
    <row r="721" spans="1:27" x14ac:dyDescent="0.25">
      <c r="A721" s="4"/>
      <c r="B721" s="98" t="s">
        <v>569</v>
      </c>
      <c r="C721" s="75" t="s">
        <v>605</v>
      </c>
      <c r="D721" s="28" t="s">
        <v>523</v>
      </c>
      <c r="E721" s="28">
        <f>RIGHT(TRIM(D721),5)*1</f>
        <v>92113</v>
      </c>
      <c r="F721" s="143" t="str">
        <f>INDEX(PV_Summary!$B$18:$B$118,MATCH($E721,PV_Summary!$A$18:$A$118,0))</f>
        <v>S</v>
      </c>
      <c r="G721" s="123">
        <v>32.690705000000001</v>
      </c>
      <c r="H721" s="61">
        <v>-117.132507</v>
      </c>
      <c r="I721" s="44" t="s">
        <v>3</v>
      </c>
      <c r="J721" s="46">
        <f t="shared" si="504"/>
        <v>0.75</v>
      </c>
      <c r="K721" s="100"/>
      <c r="L721" s="44" t="str">
        <f t="shared" si="505"/>
        <v/>
      </c>
      <c r="M721" s="46">
        <f t="shared" si="506"/>
        <v>0.75</v>
      </c>
      <c r="N721" s="46"/>
      <c r="O721" s="41">
        <f t="shared" si="466"/>
        <v>0</v>
      </c>
      <c r="P721" s="42">
        <v>29000</v>
      </c>
      <c r="Q721" s="44" t="s">
        <v>3</v>
      </c>
      <c r="R721" s="28" t="s">
        <v>55</v>
      </c>
      <c r="S721" s="48">
        <f t="shared" si="501"/>
        <v>203000</v>
      </c>
      <c r="T721" s="48">
        <f t="shared" si="502"/>
        <v>0</v>
      </c>
      <c r="U721" s="28" t="s">
        <v>1393</v>
      </c>
      <c r="V721" s="143">
        <v>86</v>
      </c>
      <c r="W721" s="28">
        <v>128</v>
      </c>
      <c r="X721" s="105">
        <v>1.5</v>
      </c>
      <c r="Y721" s="105">
        <v>10</v>
      </c>
      <c r="Z721" s="73" t="s">
        <v>603</v>
      </c>
      <c r="AA721" s="28">
        <v>150</v>
      </c>
    </row>
    <row r="722" spans="1:27" x14ac:dyDescent="0.25">
      <c r="A722" s="4"/>
      <c r="B722" s="98" t="s">
        <v>570</v>
      </c>
      <c r="C722" s="75" t="s">
        <v>605</v>
      </c>
      <c r="D722" s="28" t="s">
        <v>523</v>
      </c>
      <c r="E722" s="28">
        <f>RIGHT(TRIM(D722),5)*1</f>
        <v>92113</v>
      </c>
      <c r="F722" s="143" t="str">
        <f>INDEX(PV_Summary!$B$18:$B$118,MATCH($E722,PV_Summary!$A$18:$A$118,0))</f>
        <v>S</v>
      </c>
      <c r="G722" s="123">
        <v>32.689517000000002</v>
      </c>
      <c r="H722" s="61">
        <v>-117.13050200000001</v>
      </c>
      <c r="I722" s="44" t="s">
        <v>3</v>
      </c>
      <c r="J722" s="46">
        <f t="shared" si="504"/>
        <v>0.75</v>
      </c>
      <c r="K722" s="100"/>
      <c r="L722" s="44" t="str">
        <f t="shared" si="505"/>
        <v/>
      </c>
      <c r="M722" s="46">
        <f t="shared" si="506"/>
        <v>0.75</v>
      </c>
      <c r="N722" s="46"/>
      <c r="O722" s="41">
        <f t="shared" si="466"/>
        <v>0</v>
      </c>
      <c r="P722" s="42">
        <v>37000</v>
      </c>
      <c r="Q722" s="44" t="s">
        <v>3</v>
      </c>
      <c r="R722" s="28" t="s">
        <v>55</v>
      </c>
      <c r="S722" s="48">
        <f t="shared" si="501"/>
        <v>259000</v>
      </c>
      <c r="T722" s="48">
        <f t="shared" si="502"/>
        <v>0</v>
      </c>
      <c r="U722" s="28" t="s">
        <v>1393</v>
      </c>
      <c r="V722" s="143">
        <v>86</v>
      </c>
      <c r="W722" s="28">
        <v>128</v>
      </c>
      <c r="X722" s="105">
        <v>1.5</v>
      </c>
      <c r="Y722" s="105">
        <v>10</v>
      </c>
      <c r="Z722" s="73" t="s">
        <v>603</v>
      </c>
      <c r="AA722" s="28">
        <v>150</v>
      </c>
    </row>
    <row r="723" spans="1:27" x14ac:dyDescent="0.25">
      <c r="A723" s="4"/>
      <c r="B723" s="98" t="s">
        <v>571</v>
      </c>
      <c r="C723" s="75" t="s">
        <v>605</v>
      </c>
      <c r="D723" s="28" t="s">
        <v>523</v>
      </c>
      <c r="E723" s="28">
        <f>RIGHT(TRIM(D723),5)*1</f>
        <v>92113</v>
      </c>
      <c r="F723" s="143" t="str">
        <f>INDEX(PV_Summary!$B$18:$B$118,MATCH($E723,PV_Summary!$A$18:$A$118,0))</f>
        <v>S</v>
      </c>
      <c r="G723" s="123">
        <v>32.688391000000003</v>
      </c>
      <c r="H723" s="61">
        <v>-117.128873</v>
      </c>
      <c r="I723" s="44" t="s">
        <v>3</v>
      </c>
      <c r="J723" s="46">
        <f t="shared" si="504"/>
        <v>0.75</v>
      </c>
      <c r="K723" s="100"/>
      <c r="L723" s="44" t="str">
        <f t="shared" si="505"/>
        <v/>
      </c>
      <c r="M723" s="46">
        <f t="shared" si="506"/>
        <v>0.75</v>
      </c>
      <c r="N723" s="46"/>
      <c r="O723" s="41">
        <f t="shared" si="466"/>
        <v>0</v>
      </c>
      <c r="P723" s="42">
        <v>18000</v>
      </c>
      <c r="Q723" s="44" t="s">
        <v>3</v>
      </c>
      <c r="R723" s="28" t="s">
        <v>55</v>
      </c>
      <c r="S723" s="48">
        <f t="shared" si="501"/>
        <v>126000</v>
      </c>
      <c r="T723" s="48">
        <f t="shared" si="502"/>
        <v>0</v>
      </c>
      <c r="U723" s="28" t="s">
        <v>1393</v>
      </c>
      <c r="V723" s="143">
        <v>86</v>
      </c>
      <c r="W723" s="28">
        <v>128</v>
      </c>
      <c r="X723" s="105">
        <v>1.5</v>
      </c>
      <c r="Y723" s="105">
        <v>10</v>
      </c>
      <c r="Z723" s="73" t="s">
        <v>603</v>
      </c>
      <c r="AA723" s="28">
        <v>150</v>
      </c>
    </row>
    <row r="724" spans="1:27" x14ac:dyDescent="0.25">
      <c r="A724"/>
      <c r="B724" s="28" t="s">
        <v>530</v>
      </c>
      <c r="C724" s="75" t="s">
        <v>522</v>
      </c>
      <c r="D724" s="28" t="s">
        <v>523</v>
      </c>
      <c r="E724" s="28">
        <f t="shared" si="250"/>
        <v>92113</v>
      </c>
      <c r="F724" s="143" t="str">
        <f>INDEX(PV_Summary!$B$18:$B$118,MATCH($E724,PV_Summary!$A$18:$A$118,0))</f>
        <v>S</v>
      </c>
      <c r="G724" s="123">
        <v>32.690739000000001</v>
      </c>
      <c r="H724" s="61">
        <v>-117.127978</v>
      </c>
      <c r="I724" s="44" t="s">
        <v>62</v>
      </c>
      <c r="J724" s="46">
        <f t="shared" ca="1" si="504"/>
        <v>1.5</v>
      </c>
      <c r="K724" s="100"/>
      <c r="L724" s="44" t="str">
        <f t="shared" ca="1" si="505"/>
        <v>Total</v>
      </c>
      <c r="M724" s="46">
        <f t="shared" ca="1" si="506"/>
        <v>1.25</v>
      </c>
      <c r="N724" s="46"/>
      <c r="O724" s="41">
        <f t="shared" ca="1" si="466"/>
        <v>9</v>
      </c>
      <c r="Q724" s="44"/>
      <c r="S724" s="48">
        <f t="shared" si="501"/>
        <v>0</v>
      </c>
      <c r="T724" s="48">
        <f t="shared" ca="1" si="502"/>
        <v>3996000</v>
      </c>
      <c r="U724" s="28" t="s">
        <v>1393</v>
      </c>
      <c r="V724" s="143">
        <v>86</v>
      </c>
      <c r="W724" s="28">
        <v>129</v>
      </c>
      <c r="X724" s="105">
        <v>1.44</v>
      </c>
      <c r="Y724" s="105">
        <v>9.66</v>
      </c>
      <c r="Z724" s="73" t="s">
        <v>603</v>
      </c>
      <c r="AA724" s="28"/>
    </row>
    <row r="725" spans="1:27" x14ac:dyDescent="0.25">
      <c r="A725"/>
      <c r="B725" s="98" t="s">
        <v>521</v>
      </c>
      <c r="C725" s="75" t="s">
        <v>522</v>
      </c>
      <c r="D725" s="28" t="s">
        <v>523</v>
      </c>
      <c r="E725" s="28">
        <f t="shared" si="250"/>
        <v>92113</v>
      </c>
      <c r="F725" s="143" t="str">
        <f>INDEX(PV_Summary!$B$18:$B$118,MATCH($E725,PV_Summary!$A$18:$A$118,0))</f>
        <v>S</v>
      </c>
      <c r="G725" s="123">
        <v>32.690928</v>
      </c>
      <c r="H725" s="61">
        <v>-117.13021500000001</v>
      </c>
      <c r="I725" s="44" t="s">
        <v>37</v>
      </c>
      <c r="J725" s="46">
        <f t="shared" ref="J725:J731" si="507">IF(O725&gt;1,Sym_Scl_Aggr_Parent,IF(O725&lt;1,Sym_Scl_Aggr_Child,Sym_Scl_Normal))</f>
        <v>0.75</v>
      </c>
      <c r="K725" s="100"/>
      <c r="L725" s="44" t="str">
        <f t="shared" ref="L725:L731" si="508">IF(O725&gt;1,"Total","")</f>
        <v/>
      </c>
      <c r="M725" s="46">
        <f t="shared" ref="M725:M731" si="509">IF(O725&gt;1,Label_Scl_Aggr_Parent,IF(O725&lt;1,Label_Scl_Aggr_Child,Label_Scl_Normal))</f>
        <v>0.75</v>
      </c>
      <c r="N725" s="46"/>
      <c r="O725" s="41">
        <f t="shared" si="466"/>
        <v>0</v>
      </c>
      <c r="P725" s="42">
        <v>117000</v>
      </c>
      <c r="Q725" s="44" t="s">
        <v>37</v>
      </c>
      <c r="R725" s="28" t="s">
        <v>56</v>
      </c>
      <c r="S725" s="48">
        <f t="shared" si="501"/>
        <v>702000</v>
      </c>
      <c r="T725" s="48">
        <f t="shared" si="502"/>
        <v>0</v>
      </c>
      <c r="U725" s="28" t="s">
        <v>1393</v>
      </c>
      <c r="V725" s="143">
        <v>86</v>
      </c>
      <c r="W725" s="28">
        <v>129</v>
      </c>
      <c r="X725" s="105">
        <v>1.44</v>
      </c>
      <c r="Y725" s="105">
        <v>9.66</v>
      </c>
      <c r="Z725" s="73" t="s">
        <v>603</v>
      </c>
      <c r="AA725" s="28">
        <v>50</v>
      </c>
    </row>
    <row r="726" spans="1:27" x14ac:dyDescent="0.25">
      <c r="A726" s="4"/>
      <c r="B726" s="98" t="s">
        <v>531</v>
      </c>
      <c r="C726" s="75" t="s">
        <v>522</v>
      </c>
      <c r="D726" s="28" t="s">
        <v>523</v>
      </c>
      <c r="E726" s="28">
        <f t="shared" si="250"/>
        <v>92113</v>
      </c>
      <c r="F726" s="143" t="str">
        <f>INDEX(PV_Summary!$B$18:$B$118,MATCH($E726,PV_Summary!$A$18:$A$118,0))</f>
        <v>S</v>
      </c>
      <c r="G726" s="123">
        <v>32.689326999999999</v>
      </c>
      <c r="H726" s="61">
        <v>-117.12792899999999</v>
      </c>
      <c r="I726" s="44" t="s">
        <v>37</v>
      </c>
      <c r="J726" s="46">
        <f t="shared" si="507"/>
        <v>0.75</v>
      </c>
      <c r="K726" s="100"/>
      <c r="L726" s="44" t="str">
        <f t="shared" si="508"/>
        <v/>
      </c>
      <c r="M726" s="46">
        <f t="shared" si="509"/>
        <v>0.75</v>
      </c>
      <c r="N726" s="46"/>
      <c r="O726" s="41">
        <f t="shared" si="466"/>
        <v>0</v>
      </c>
      <c r="P726" s="42">
        <v>59000</v>
      </c>
      <c r="Q726" s="44" t="s">
        <v>37</v>
      </c>
      <c r="R726" s="28" t="s">
        <v>56</v>
      </c>
      <c r="S726" s="48">
        <f t="shared" si="501"/>
        <v>354000</v>
      </c>
      <c r="T726" s="48">
        <f t="shared" si="502"/>
        <v>0</v>
      </c>
      <c r="U726" s="28" t="s">
        <v>1393</v>
      </c>
      <c r="V726" s="143">
        <v>86</v>
      </c>
      <c r="W726" s="28">
        <v>129</v>
      </c>
      <c r="X726" s="105">
        <v>1.44</v>
      </c>
      <c r="Y726" s="105">
        <v>9.66</v>
      </c>
      <c r="Z726" s="73" t="s">
        <v>603</v>
      </c>
      <c r="AA726" s="28">
        <v>100</v>
      </c>
    </row>
    <row r="727" spans="1:27" x14ac:dyDescent="0.25">
      <c r="A727" s="4"/>
      <c r="B727" s="98" t="s">
        <v>532</v>
      </c>
      <c r="C727" s="75" t="s">
        <v>522</v>
      </c>
      <c r="D727" s="28" t="s">
        <v>523</v>
      </c>
      <c r="E727" s="28">
        <f t="shared" si="250"/>
        <v>92113</v>
      </c>
      <c r="F727" s="143" t="str">
        <f>INDEX(PV_Summary!$B$18:$B$118,MATCH($E727,PV_Summary!$A$18:$A$118,0))</f>
        <v>S</v>
      </c>
      <c r="G727" s="123">
        <v>32.689422999999998</v>
      </c>
      <c r="H727" s="61">
        <v>-117.12660099999999</v>
      </c>
      <c r="I727" s="44" t="s">
        <v>37</v>
      </c>
      <c r="J727" s="46">
        <f t="shared" si="507"/>
        <v>0.75</v>
      </c>
      <c r="K727" s="100"/>
      <c r="L727" s="44" t="str">
        <f t="shared" si="508"/>
        <v/>
      </c>
      <c r="M727" s="46">
        <f t="shared" si="509"/>
        <v>0.75</v>
      </c>
      <c r="N727" s="46"/>
      <c r="O727" s="41">
        <f t="shared" si="466"/>
        <v>0</v>
      </c>
      <c r="P727" s="42">
        <v>42000</v>
      </c>
      <c r="Q727" s="44" t="s">
        <v>37</v>
      </c>
      <c r="R727" s="28" t="s">
        <v>55</v>
      </c>
      <c r="S727" s="48">
        <f t="shared" si="501"/>
        <v>294000</v>
      </c>
      <c r="T727" s="48">
        <f t="shared" si="502"/>
        <v>0</v>
      </c>
      <c r="U727" s="28" t="s">
        <v>1393</v>
      </c>
      <c r="V727" s="143">
        <v>86</v>
      </c>
      <c r="W727" s="28">
        <v>129</v>
      </c>
      <c r="X727" s="105">
        <v>1.44</v>
      </c>
      <c r="Y727" s="105">
        <v>9.66</v>
      </c>
      <c r="Z727" s="73" t="s">
        <v>603</v>
      </c>
      <c r="AA727" s="28">
        <v>200</v>
      </c>
    </row>
    <row r="728" spans="1:27" x14ac:dyDescent="0.25">
      <c r="A728"/>
      <c r="B728" s="98" t="s">
        <v>526</v>
      </c>
      <c r="C728" s="75" t="s">
        <v>522</v>
      </c>
      <c r="D728" s="28" t="s">
        <v>523</v>
      </c>
      <c r="E728" s="28">
        <f t="shared" si="250"/>
        <v>92113</v>
      </c>
      <c r="F728" s="143" t="str">
        <f>INDEX(PV_Summary!$B$18:$B$118,MATCH($E728,PV_Summary!$A$18:$A$118,0))</f>
        <v>S</v>
      </c>
      <c r="G728" s="123">
        <v>32.691136</v>
      </c>
      <c r="H728" s="61">
        <v>-117.128775</v>
      </c>
      <c r="I728" s="44" t="s">
        <v>3</v>
      </c>
      <c r="J728" s="46">
        <f t="shared" si="507"/>
        <v>0.75</v>
      </c>
      <c r="K728" s="100"/>
      <c r="L728" s="44" t="str">
        <f t="shared" si="508"/>
        <v/>
      </c>
      <c r="M728" s="46">
        <f t="shared" si="509"/>
        <v>0.75</v>
      </c>
      <c r="N728" s="46"/>
      <c r="O728" s="41">
        <f t="shared" si="466"/>
        <v>0</v>
      </c>
      <c r="P728" s="42">
        <v>55000</v>
      </c>
      <c r="Q728" s="44" t="s">
        <v>3</v>
      </c>
      <c r="R728" s="28" t="s">
        <v>55</v>
      </c>
      <c r="S728" s="48">
        <f t="shared" si="501"/>
        <v>385000</v>
      </c>
      <c r="T728" s="48">
        <f t="shared" si="502"/>
        <v>0</v>
      </c>
      <c r="U728" s="28" t="s">
        <v>1393</v>
      </c>
      <c r="V728" s="143">
        <v>86</v>
      </c>
      <c r="W728" s="28">
        <v>129</v>
      </c>
      <c r="X728" s="105">
        <v>1.44</v>
      </c>
      <c r="Y728" s="105">
        <v>9.66</v>
      </c>
      <c r="Z728" s="73" t="s">
        <v>603</v>
      </c>
      <c r="AA728" s="28">
        <v>50</v>
      </c>
    </row>
    <row r="729" spans="1:27" x14ac:dyDescent="0.25">
      <c r="A729" s="4"/>
      <c r="B729" s="98" t="s">
        <v>527</v>
      </c>
      <c r="C729" s="75" t="s">
        <v>522</v>
      </c>
      <c r="D729" s="28" t="s">
        <v>523</v>
      </c>
      <c r="E729" s="28">
        <f t="shared" si="250"/>
        <v>92113</v>
      </c>
      <c r="F729" s="143" t="str">
        <f>INDEX(PV_Summary!$B$18:$B$118,MATCH($E729,PV_Summary!$A$18:$A$118,0))</f>
        <v>S</v>
      </c>
      <c r="G729" s="123">
        <v>32.691172000000002</v>
      </c>
      <c r="H729" s="61">
        <v>-117.12770500000001</v>
      </c>
      <c r="I729" s="44" t="s">
        <v>3</v>
      </c>
      <c r="J729" s="46">
        <f t="shared" si="507"/>
        <v>0.75</v>
      </c>
      <c r="K729" s="100"/>
      <c r="L729" s="44" t="str">
        <f t="shared" si="508"/>
        <v/>
      </c>
      <c r="M729" s="46">
        <f t="shared" si="509"/>
        <v>0.75</v>
      </c>
      <c r="N729" s="46"/>
      <c r="O729" s="41">
        <f t="shared" si="466"/>
        <v>0</v>
      </c>
      <c r="P729" s="42">
        <v>28000</v>
      </c>
      <c r="Q729" s="44" t="s">
        <v>3</v>
      </c>
      <c r="R729" s="28" t="s">
        <v>55</v>
      </c>
      <c r="S729" s="48">
        <f t="shared" si="501"/>
        <v>196000</v>
      </c>
      <c r="T729" s="48">
        <f t="shared" si="502"/>
        <v>0</v>
      </c>
      <c r="U729" s="28" t="s">
        <v>1393</v>
      </c>
      <c r="V729" s="143">
        <v>86</v>
      </c>
      <c r="W729" s="28">
        <v>129</v>
      </c>
      <c r="X729" s="105">
        <v>1.44</v>
      </c>
      <c r="Y729" s="105">
        <v>9.66</v>
      </c>
      <c r="Z729" s="73" t="s">
        <v>603</v>
      </c>
      <c r="AA729" s="28">
        <v>0</v>
      </c>
    </row>
    <row r="730" spans="1:27" x14ac:dyDescent="0.25">
      <c r="A730" s="4"/>
      <c r="B730" s="98" t="s">
        <v>528</v>
      </c>
      <c r="C730" s="75" t="s">
        <v>522</v>
      </c>
      <c r="D730" s="28" t="s">
        <v>523</v>
      </c>
      <c r="E730" s="28">
        <f t="shared" si="250"/>
        <v>92113</v>
      </c>
      <c r="F730" s="143" t="str">
        <f>INDEX(PV_Summary!$B$18:$B$118,MATCH($E730,PV_Summary!$A$18:$A$118,0))</f>
        <v>S</v>
      </c>
      <c r="G730" s="123">
        <v>32.690469999999998</v>
      </c>
      <c r="H730" s="61">
        <v>-117.128674</v>
      </c>
      <c r="I730" s="44" t="s">
        <v>3</v>
      </c>
      <c r="J730" s="46">
        <f t="shared" si="507"/>
        <v>0.75</v>
      </c>
      <c r="K730" s="100"/>
      <c r="L730" s="44" t="str">
        <f t="shared" si="508"/>
        <v/>
      </c>
      <c r="M730" s="46">
        <f t="shared" si="509"/>
        <v>0.75</v>
      </c>
      <c r="N730" s="46"/>
      <c r="O730" s="41">
        <f t="shared" si="466"/>
        <v>0</v>
      </c>
      <c r="P730" s="42">
        <v>81000</v>
      </c>
      <c r="Q730" s="44" t="s">
        <v>3</v>
      </c>
      <c r="R730" s="28" t="s">
        <v>55</v>
      </c>
      <c r="S730" s="48">
        <f t="shared" si="501"/>
        <v>567000</v>
      </c>
      <c r="T730" s="48">
        <f t="shared" si="502"/>
        <v>0</v>
      </c>
      <c r="U730" s="28" t="s">
        <v>1393</v>
      </c>
      <c r="V730" s="143">
        <v>86</v>
      </c>
      <c r="W730" s="28">
        <v>129</v>
      </c>
      <c r="X730" s="105">
        <v>1.44</v>
      </c>
      <c r="Y730" s="105">
        <v>9.66</v>
      </c>
      <c r="Z730" s="73" t="s">
        <v>603</v>
      </c>
      <c r="AA730" s="28">
        <v>0</v>
      </c>
    </row>
    <row r="731" spans="1:27" x14ac:dyDescent="0.25">
      <c r="A731" s="4"/>
      <c r="B731" s="98" t="s">
        <v>529</v>
      </c>
      <c r="C731" s="75" t="s">
        <v>522</v>
      </c>
      <c r="D731" s="28" t="s">
        <v>523</v>
      </c>
      <c r="E731" s="28">
        <f t="shared" si="250"/>
        <v>92113</v>
      </c>
      <c r="F731" s="143" t="str">
        <f>INDEX(PV_Summary!$B$18:$B$118,MATCH($E731,PV_Summary!$A$18:$A$118,0))</f>
        <v>S</v>
      </c>
      <c r="G731" s="123">
        <v>32.690286999999998</v>
      </c>
      <c r="H731" s="61">
        <v>-117.12687699999999</v>
      </c>
      <c r="I731" s="44" t="s">
        <v>3</v>
      </c>
      <c r="J731" s="46">
        <f t="shared" si="507"/>
        <v>0.75</v>
      </c>
      <c r="K731" s="100"/>
      <c r="L731" s="44" t="str">
        <f t="shared" si="508"/>
        <v/>
      </c>
      <c r="M731" s="46">
        <f t="shared" si="509"/>
        <v>0.75</v>
      </c>
      <c r="N731" s="46"/>
      <c r="O731" s="41">
        <f t="shared" si="466"/>
        <v>0</v>
      </c>
      <c r="P731" s="42">
        <v>148000</v>
      </c>
      <c r="Q731" s="44" t="s">
        <v>3</v>
      </c>
      <c r="R731" s="28" t="s">
        <v>55</v>
      </c>
      <c r="S731" s="48">
        <f t="shared" si="501"/>
        <v>1036000</v>
      </c>
      <c r="T731" s="48">
        <f t="shared" si="502"/>
        <v>0</v>
      </c>
      <c r="U731" s="28" t="s">
        <v>1393</v>
      </c>
      <c r="V731" s="143">
        <v>86</v>
      </c>
      <c r="W731" s="28">
        <v>129</v>
      </c>
      <c r="X731" s="105">
        <v>1.44</v>
      </c>
      <c r="Y731" s="105">
        <v>9.66</v>
      </c>
      <c r="Z731" s="73" t="s">
        <v>603</v>
      </c>
      <c r="AA731" s="28">
        <v>0</v>
      </c>
    </row>
    <row r="732" spans="1:27" x14ac:dyDescent="0.25">
      <c r="A732" s="4"/>
      <c r="B732" s="98" t="s">
        <v>698</v>
      </c>
      <c r="C732" s="75" t="s">
        <v>522</v>
      </c>
      <c r="D732" s="28" t="s">
        <v>523</v>
      </c>
      <c r="E732" s="28">
        <f t="shared" si="250"/>
        <v>92113</v>
      </c>
      <c r="F732" s="143" t="str">
        <f>INDEX(PV_Summary!$B$18:$B$118,MATCH($E732,PV_Summary!$A$18:$A$118,0))</f>
        <v>S</v>
      </c>
      <c r="G732" s="123">
        <v>32.688611000000002</v>
      </c>
      <c r="H732" s="61">
        <v>-117.12747400000001</v>
      </c>
      <c r="I732" s="44" t="s">
        <v>3</v>
      </c>
      <c r="J732" s="46">
        <f>IF(O732&gt;1,Sym_Scl_Aggr_Parent,IF(O732&lt;1,Sym_Scl_Aggr_Child,Sym_Scl_Normal))</f>
        <v>0.75</v>
      </c>
      <c r="K732" s="100"/>
      <c r="L732" s="44" t="str">
        <f>IF(O732&gt;1,"Total","")</f>
        <v/>
      </c>
      <c r="M732" s="46">
        <f>IF(O732&gt;1,Label_Scl_Aggr_Parent,IF(O732&lt;1,Label_Scl_Aggr_Child,Label_Scl_Normal))</f>
        <v>0.75</v>
      </c>
      <c r="N732" s="46"/>
      <c r="O732" s="41">
        <f t="shared" si="466"/>
        <v>0</v>
      </c>
      <c r="P732" s="42">
        <v>66000</v>
      </c>
      <c r="Q732" s="44" t="s">
        <v>3</v>
      </c>
      <c r="R732" s="28" t="s">
        <v>55</v>
      </c>
      <c r="S732" s="48">
        <f t="shared" si="501"/>
        <v>462000</v>
      </c>
      <c r="T732" s="48">
        <f t="shared" si="502"/>
        <v>0</v>
      </c>
      <c r="U732" s="28" t="s">
        <v>1393</v>
      </c>
      <c r="V732" s="143">
        <v>86</v>
      </c>
      <c r="W732" s="28">
        <v>129</v>
      </c>
      <c r="X732" s="105">
        <v>1.44</v>
      </c>
      <c r="Y732" s="105">
        <v>9.66</v>
      </c>
      <c r="Z732" s="73" t="s">
        <v>603</v>
      </c>
      <c r="AA732" s="28">
        <v>250</v>
      </c>
    </row>
    <row r="733" spans="1:27" x14ac:dyDescent="0.25">
      <c r="A733" s="4"/>
      <c r="B733" s="62" t="s">
        <v>544</v>
      </c>
      <c r="C733" s="75" t="s">
        <v>607</v>
      </c>
      <c r="D733" s="28" t="s">
        <v>606</v>
      </c>
      <c r="E733" s="28">
        <f t="shared" si="250"/>
        <v>92136</v>
      </c>
      <c r="F733" s="143" t="str">
        <f>INDEX(PV_Summary!$B$18:$B$118,MATCH($E733,PV_Summary!$A$18:$A$118,0))</f>
        <v>S</v>
      </c>
      <c r="G733" s="123">
        <v>32.683087</v>
      </c>
      <c r="H733" s="61">
        <v>-117.123952</v>
      </c>
      <c r="I733" s="44" t="s">
        <v>69</v>
      </c>
      <c r="J733" s="46">
        <f ca="1">IF(O733&gt;1,Sym_Scl_Aggr_Parent,IF(O733&lt;1,Sym_Scl_Aggr_Child,Sym_Scl_Normal))</f>
        <v>1.5</v>
      </c>
      <c r="K733" s="100"/>
      <c r="L733" s="44" t="str">
        <f ca="1">IF(O733&gt;1,"Total","")</f>
        <v>Total</v>
      </c>
      <c r="M733" s="46">
        <f ca="1">IF(O733&gt;1,Label_Scl_Aggr_Parent,IF(O733&lt;1,Label_Scl_Aggr_Child,Label_Scl_Normal))</f>
        <v>1.25</v>
      </c>
      <c r="N733" s="46"/>
      <c r="O733" s="41">
        <f t="shared" ca="1" si="466"/>
        <v>6</v>
      </c>
      <c r="Q733" s="44"/>
      <c r="S733" s="48">
        <f t="shared" si="501"/>
        <v>0</v>
      </c>
      <c r="T733" s="48">
        <f t="shared" ca="1" si="502"/>
        <v>3666600</v>
      </c>
      <c r="U733" s="28" t="s">
        <v>1393</v>
      </c>
      <c r="V733" s="143">
        <v>86</v>
      </c>
      <c r="W733" s="28"/>
      <c r="X733" s="105"/>
      <c r="Y733" s="105"/>
      <c r="Z733" s="73"/>
      <c r="AA733" s="28"/>
    </row>
    <row r="734" spans="1:27" x14ac:dyDescent="0.25">
      <c r="A734" s="4"/>
      <c r="B734" s="98" t="s">
        <v>545</v>
      </c>
      <c r="C734" s="75" t="s">
        <v>607</v>
      </c>
      <c r="D734" s="28" t="s">
        <v>606</v>
      </c>
      <c r="E734" s="28">
        <f t="shared" si="250"/>
        <v>92136</v>
      </c>
      <c r="F734" s="143" t="str">
        <f>INDEX(PV_Summary!$B$18:$B$118,MATCH($E734,PV_Summary!$A$18:$A$118,0))</f>
        <v>S</v>
      </c>
      <c r="G734" s="123">
        <v>32.684182</v>
      </c>
      <c r="H734" s="61">
        <v>-117.12456899999999</v>
      </c>
      <c r="I734" s="44" t="s">
        <v>3</v>
      </c>
      <c r="J734" s="46">
        <f t="shared" ref="J734:J740" si="510">IF(O734&gt;1,Sym_Scl_Aggr_Parent,IF(O734&lt;1,Sym_Scl_Aggr_Child,Sym_Scl_Normal))</f>
        <v>0.75</v>
      </c>
      <c r="K734" s="100"/>
      <c r="L734" s="44" t="str">
        <f t="shared" ref="L734:L740" si="511">IF(O734&gt;1,"Total","")</f>
        <v/>
      </c>
      <c r="M734" s="46">
        <f t="shared" ref="M734:M740" si="512">IF(O734&gt;1,Label_Scl_Aggr_Parent,IF(O734&lt;1,Label_Scl_Aggr_Child,Label_Scl_Normal))</f>
        <v>0.75</v>
      </c>
      <c r="N734" s="46"/>
      <c r="O734" s="41">
        <f t="shared" si="466"/>
        <v>0</v>
      </c>
      <c r="P734" s="42">
        <v>107000</v>
      </c>
      <c r="Q734" s="44" t="s">
        <v>3</v>
      </c>
      <c r="R734" s="28" t="s">
        <v>55</v>
      </c>
      <c r="S734" s="48">
        <f t="shared" si="501"/>
        <v>749000</v>
      </c>
      <c r="T734" s="48">
        <f t="shared" si="502"/>
        <v>0</v>
      </c>
      <c r="U734" s="28" t="s">
        <v>1393</v>
      </c>
      <c r="V734" s="143">
        <v>86</v>
      </c>
      <c r="W734" s="28">
        <v>48</v>
      </c>
      <c r="X734" s="105">
        <v>1.5</v>
      </c>
      <c r="Y734" s="105">
        <v>10</v>
      </c>
      <c r="Z734" s="73" t="s">
        <v>608</v>
      </c>
      <c r="AA734" s="28">
        <v>0</v>
      </c>
    </row>
    <row r="735" spans="1:27" x14ac:dyDescent="0.25">
      <c r="A735" s="4"/>
      <c r="B735" s="98" t="s">
        <v>546</v>
      </c>
      <c r="C735" s="75" t="s">
        <v>607</v>
      </c>
      <c r="D735" s="28" t="s">
        <v>606</v>
      </c>
      <c r="E735" s="28">
        <f t="shared" si="250"/>
        <v>92136</v>
      </c>
      <c r="F735" s="143" t="str">
        <f>INDEX(PV_Summary!$B$18:$B$118,MATCH($E735,PV_Summary!$A$18:$A$118,0))</f>
        <v>S</v>
      </c>
      <c r="G735" s="123">
        <v>32.683508000000003</v>
      </c>
      <c r="H735" s="61">
        <v>-117.123586</v>
      </c>
      <c r="I735" s="44" t="s">
        <v>3</v>
      </c>
      <c r="J735" s="46">
        <f t="shared" si="510"/>
        <v>0.75</v>
      </c>
      <c r="K735" s="100"/>
      <c r="L735" s="44" t="str">
        <f t="shared" si="511"/>
        <v/>
      </c>
      <c r="M735" s="46">
        <f t="shared" si="512"/>
        <v>0.75</v>
      </c>
      <c r="N735" s="46"/>
      <c r="O735" s="41">
        <f t="shared" si="466"/>
        <v>0</v>
      </c>
      <c r="P735" s="42">
        <v>47500</v>
      </c>
      <c r="Q735" s="44" t="s">
        <v>3</v>
      </c>
      <c r="R735" s="28" t="s">
        <v>55</v>
      </c>
      <c r="S735" s="48">
        <f t="shared" si="501"/>
        <v>332500</v>
      </c>
      <c r="T735" s="48">
        <f t="shared" si="502"/>
        <v>0</v>
      </c>
      <c r="U735" s="28" t="s">
        <v>1393</v>
      </c>
      <c r="V735" s="143">
        <v>86</v>
      </c>
      <c r="W735" s="28">
        <v>48</v>
      </c>
      <c r="X735" s="105">
        <v>1.5</v>
      </c>
      <c r="Y735" s="105">
        <v>10</v>
      </c>
      <c r="Z735" s="73" t="s">
        <v>608</v>
      </c>
      <c r="AA735" s="28">
        <v>200</v>
      </c>
    </row>
    <row r="736" spans="1:27" x14ac:dyDescent="0.25">
      <c r="A736" s="4"/>
      <c r="B736" s="98" t="s">
        <v>547</v>
      </c>
      <c r="C736" s="75" t="s">
        <v>607</v>
      </c>
      <c r="D736" s="28" t="s">
        <v>606</v>
      </c>
      <c r="E736" s="28">
        <f t="shared" si="250"/>
        <v>92136</v>
      </c>
      <c r="F736" s="143" t="str">
        <f>INDEX(PV_Summary!$B$18:$B$118,MATCH($E736,PV_Summary!$A$18:$A$118,0))</f>
        <v>S</v>
      </c>
      <c r="G736" s="123">
        <v>32.682710999999998</v>
      </c>
      <c r="H736" s="61">
        <v>-117.124425</v>
      </c>
      <c r="I736" s="44" t="s">
        <v>3</v>
      </c>
      <c r="J736" s="46">
        <f t="shared" si="510"/>
        <v>0.75</v>
      </c>
      <c r="K736" s="100"/>
      <c r="L736" s="44" t="str">
        <f t="shared" si="511"/>
        <v/>
      </c>
      <c r="M736" s="46">
        <f t="shared" si="512"/>
        <v>0.75</v>
      </c>
      <c r="N736" s="46"/>
      <c r="O736" s="41">
        <f t="shared" si="466"/>
        <v>0</v>
      </c>
      <c r="P736" s="42">
        <v>24300</v>
      </c>
      <c r="Q736" s="44" t="s">
        <v>3</v>
      </c>
      <c r="R736" s="28" t="s">
        <v>55</v>
      </c>
      <c r="S736" s="48">
        <f t="shared" si="501"/>
        <v>170100</v>
      </c>
      <c r="T736" s="48">
        <f t="shared" si="502"/>
        <v>0</v>
      </c>
      <c r="U736" s="28" t="s">
        <v>1393</v>
      </c>
      <c r="V736" s="143">
        <v>86</v>
      </c>
      <c r="W736" s="28">
        <v>48</v>
      </c>
      <c r="X736" s="105">
        <v>1.5</v>
      </c>
      <c r="Y736" s="105">
        <v>10</v>
      </c>
      <c r="Z736" s="73" t="s">
        <v>608</v>
      </c>
      <c r="AA736" s="28">
        <v>500</v>
      </c>
    </row>
    <row r="737" spans="1:27" x14ac:dyDescent="0.25">
      <c r="A737" s="4"/>
      <c r="B737" s="98" t="s">
        <v>548</v>
      </c>
      <c r="C737" s="75" t="s">
        <v>607</v>
      </c>
      <c r="D737" s="28" t="s">
        <v>606</v>
      </c>
      <c r="E737" s="28">
        <f t="shared" si="250"/>
        <v>92136</v>
      </c>
      <c r="F737" s="143" t="str">
        <f>INDEX(PV_Summary!$B$18:$B$118,MATCH($E737,PV_Summary!$A$18:$A$118,0))</f>
        <v>S</v>
      </c>
      <c r="G737" s="123">
        <v>32.682285999999998</v>
      </c>
      <c r="H737" s="61">
        <v>-117.12228899999999</v>
      </c>
      <c r="I737" s="44" t="s">
        <v>3</v>
      </c>
      <c r="J737" s="46">
        <f t="shared" si="510"/>
        <v>0.75</v>
      </c>
      <c r="K737" s="100"/>
      <c r="L737" s="44" t="str">
        <f t="shared" si="511"/>
        <v/>
      </c>
      <c r="M737" s="46">
        <f t="shared" si="512"/>
        <v>0.75</v>
      </c>
      <c r="N737" s="46"/>
      <c r="O737" s="41">
        <f t="shared" si="466"/>
        <v>0</v>
      </c>
      <c r="P737" s="42">
        <v>240000</v>
      </c>
      <c r="Q737" s="44" t="s">
        <v>3</v>
      </c>
      <c r="R737" s="28" t="s">
        <v>55</v>
      </c>
      <c r="S737" s="48">
        <f t="shared" si="501"/>
        <v>1680000</v>
      </c>
      <c r="T737" s="48">
        <f t="shared" si="502"/>
        <v>0</v>
      </c>
      <c r="U737" s="28" t="s">
        <v>1393</v>
      </c>
      <c r="V737" s="143">
        <v>86</v>
      </c>
      <c r="W737" s="28">
        <v>48</v>
      </c>
      <c r="X737" s="105">
        <v>1.5</v>
      </c>
      <c r="Y737" s="105">
        <v>10</v>
      </c>
      <c r="Z737" s="73" t="s">
        <v>608</v>
      </c>
      <c r="AA737" s="28">
        <v>100</v>
      </c>
    </row>
    <row r="738" spans="1:27" x14ac:dyDescent="0.25">
      <c r="A738" s="4"/>
      <c r="B738" s="98" t="s">
        <v>549</v>
      </c>
      <c r="C738" s="75" t="s">
        <v>607</v>
      </c>
      <c r="D738" s="28" t="s">
        <v>606</v>
      </c>
      <c r="E738" s="28">
        <f t="shared" si="250"/>
        <v>92136</v>
      </c>
      <c r="F738" s="143" t="str">
        <f>INDEX(PV_Summary!$B$18:$B$118,MATCH($E738,PV_Summary!$A$18:$A$118,0))</f>
        <v>S</v>
      </c>
      <c r="G738" s="123">
        <v>32.681719000000001</v>
      </c>
      <c r="H738" s="61">
        <v>-117.12338699999999</v>
      </c>
      <c r="I738" s="44" t="s">
        <v>3</v>
      </c>
      <c r="J738" s="46">
        <f t="shared" si="510"/>
        <v>0.75</v>
      </c>
      <c r="K738" s="100"/>
      <c r="L738" s="44" t="str">
        <f t="shared" si="511"/>
        <v/>
      </c>
      <c r="M738" s="46">
        <f t="shared" si="512"/>
        <v>0.75</v>
      </c>
      <c r="N738" s="46"/>
      <c r="O738" s="41">
        <f t="shared" si="466"/>
        <v>0</v>
      </c>
      <c r="P738" s="42">
        <v>105000</v>
      </c>
      <c r="Q738" s="44" t="s">
        <v>3</v>
      </c>
      <c r="R738" s="28" t="s">
        <v>55</v>
      </c>
      <c r="S738" s="48">
        <f t="shared" si="501"/>
        <v>735000</v>
      </c>
      <c r="T738" s="48">
        <f t="shared" si="502"/>
        <v>0</v>
      </c>
      <c r="U738" s="28" t="s">
        <v>1393</v>
      </c>
      <c r="V738" s="143">
        <v>86</v>
      </c>
      <c r="W738" s="28">
        <v>48</v>
      </c>
      <c r="X738" s="105">
        <v>1.5</v>
      </c>
      <c r="Y738" s="105">
        <v>10</v>
      </c>
      <c r="Z738" s="73" t="s">
        <v>608</v>
      </c>
      <c r="AA738" s="28">
        <v>550</v>
      </c>
    </row>
    <row r="739" spans="1:27" x14ac:dyDescent="0.25">
      <c r="A739" s="4"/>
      <c r="B739" s="62" t="s">
        <v>550</v>
      </c>
      <c r="C739" s="75" t="s">
        <v>551</v>
      </c>
      <c r="D739" s="28" t="s">
        <v>606</v>
      </c>
      <c r="E739" s="28">
        <f t="shared" si="250"/>
        <v>92136</v>
      </c>
      <c r="F739" s="143" t="str">
        <f>INDEX(PV_Summary!$B$18:$B$118,MATCH($E739,PV_Summary!$A$18:$A$118,0))</f>
        <v>S</v>
      </c>
      <c r="G739" s="123">
        <v>32.683427999999999</v>
      </c>
      <c r="H739" s="61">
        <v>-117.12703999999999</v>
      </c>
      <c r="I739" s="44" t="s">
        <v>210</v>
      </c>
      <c r="J739" s="46">
        <f t="shared" ca="1" si="510"/>
        <v>1</v>
      </c>
      <c r="K739" s="100" t="s">
        <v>157</v>
      </c>
      <c r="L739" s="44" t="str">
        <f t="shared" ca="1" si="511"/>
        <v/>
      </c>
      <c r="M739" s="46">
        <f t="shared" ca="1" si="512"/>
        <v>1</v>
      </c>
      <c r="N739" s="46"/>
      <c r="O739" s="41">
        <f t="shared" ca="1" si="466"/>
        <v>1</v>
      </c>
      <c r="Q739" s="44" t="s">
        <v>172</v>
      </c>
      <c r="S739" s="48">
        <f t="shared" si="501"/>
        <v>0</v>
      </c>
      <c r="T739" s="48">
        <f t="shared" ca="1" si="502"/>
        <v>0</v>
      </c>
      <c r="W739" s="28"/>
      <c r="X739" s="105"/>
      <c r="Y739" s="105"/>
      <c r="Z739" s="73"/>
      <c r="AA739" s="28" t="s">
        <v>748</v>
      </c>
    </row>
    <row r="740" spans="1:27" x14ac:dyDescent="0.25">
      <c r="A740"/>
      <c r="B740" s="28" t="s">
        <v>516</v>
      </c>
      <c r="C740" s="75" t="s">
        <v>517</v>
      </c>
      <c r="D740" s="28" t="s">
        <v>377</v>
      </c>
      <c r="E740" s="28">
        <f t="shared" si="250"/>
        <v>92154</v>
      </c>
      <c r="F740" s="143" t="str">
        <f>INDEX(PV_Summary!$B$18:$B$118,MATCH($E740,PV_Summary!$A$18:$A$118,0))</f>
        <v>S</v>
      </c>
      <c r="G740" s="123">
        <v>32.585816999999999</v>
      </c>
      <c r="H740" s="61">
        <v>-117.09045999999999</v>
      </c>
      <c r="I740" s="44" t="s">
        <v>62</v>
      </c>
      <c r="J740" s="46">
        <f t="shared" ca="1" si="510"/>
        <v>1.5</v>
      </c>
      <c r="K740" s="100"/>
      <c r="L740" s="44" t="str">
        <f t="shared" ca="1" si="511"/>
        <v>Total</v>
      </c>
      <c r="M740" s="46">
        <f t="shared" ca="1" si="512"/>
        <v>1.25</v>
      </c>
      <c r="N740" s="46"/>
      <c r="O740" s="41">
        <f t="shared" ca="1" si="466"/>
        <v>9</v>
      </c>
      <c r="Q740" s="44"/>
      <c r="S740" s="48">
        <f t="shared" si="501"/>
        <v>0</v>
      </c>
      <c r="T740" s="48">
        <f t="shared" ca="1" si="502"/>
        <v>3591000</v>
      </c>
      <c r="W740" s="28">
        <v>723</v>
      </c>
      <c r="X740" s="105">
        <v>1.4</v>
      </c>
      <c r="Y740" s="105">
        <v>9.33</v>
      </c>
      <c r="Z740" s="73" t="s">
        <v>495</v>
      </c>
      <c r="AA740" s="28"/>
    </row>
    <row r="741" spans="1:27" x14ac:dyDescent="0.25">
      <c r="A741"/>
      <c r="B741" s="98" t="s">
        <v>513</v>
      </c>
      <c r="C741" s="75" t="s">
        <v>517</v>
      </c>
      <c r="D741" s="28" t="s">
        <v>377</v>
      </c>
      <c r="E741" s="28">
        <f t="shared" si="250"/>
        <v>92154</v>
      </c>
      <c r="F741" s="143" t="str">
        <f>INDEX(PV_Summary!$B$18:$B$118,MATCH($E741,PV_Summary!$A$18:$A$118,0))</f>
        <v>S</v>
      </c>
      <c r="G741" s="123">
        <v>32.586970000000001</v>
      </c>
      <c r="H741" s="61">
        <v>-117.091691</v>
      </c>
      <c r="I741" s="44" t="s">
        <v>37</v>
      </c>
      <c r="J741" s="46">
        <f t="shared" ref="J741:J748" si="513">IF(O741&gt;1,Sym_Scl_Aggr_Parent,IF(O741&lt;1,Sym_Scl_Aggr_Child,Sym_Scl_Normal))</f>
        <v>0.75</v>
      </c>
      <c r="K741" s="100"/>
      <c r="L741" s="44" t="str">
        <f t="shared" ref="L741:L748" si="514">IF(O741&gt;1,"Total","")</f>
        <v/>
      </c>
      <c r="M741" s="46">
        <f t="shared" ref="M741:M748" si="515">IF(O741&gt;1,Label_Scl_Aggr_Parent,IF(O741&lt;1,Label_Scl_Aggr_Child,Label_Scl_Normal))</f>
        <v>0.75</v>
      </c>
      <c r="N741" s="46"/>
      <c r="O741" s="41">
        <f t="shared" si="466"/>
        <v>0</v>
      </c>
      <c r="P741" s="42">
        <v>109000</v>
      </c>
      <c r="Q741" s="44" t="s">
        <v>37</v>
      </c>
      <c r="R741" s="28" t="s">
        <v>55</v>
      </c>
      <c r="S741" s="48">
        <f t="shared" ref="S741:S763" si="516">IF(ISNUMBER(FIND("Existing",$Q741)),0,IF($P741=0,0,INDEX(PV_W_Type_Rating_Tbl,MATCH($Q741,PV_Type_List,0),MATCH($R741,Rating_List,0)+4*DC_AC_Num)*$P741))</f>
        <v>763000</v>
      </c>
      <c r="T741" s="48">
        <f t="shared" si="502"/>
        <v>0</v>
      </c>
      <c r="W741" s="28">
        <v>723</v>
      </c>
      <c r="X741" s="105">
        <v>1.4</v>
      </c>
      <c r="Y741" s="105">
        <v>9.33</v>
      </c>
      <c r="Z741" s="73" t="s">
        <v>495</v>
      </c>
      <c r="AA741" s="28">
        <v>0</v>
      </c>
    </row>
    <row r="742" spans="1:27" x14ac:dyDescent="0.25">
      <c r="A742"/>
      <c r="B742" s="98" t="s">
        <v>505</v>
      </c>
      <c r="C742" s="75" t="s">
        <v>517</v>
      </c>
      <c r="D742" s="28" t="s">
        <v>377</v>
      </c>
      <c r="E742" s="28">
        <f t="shared" si="250"/>
        <v>92154</v>
      </c>
      <c r="F742" s="143" t="str">
        <f>INDEX(PV_Summary!$B$18:$B$118,MATCH($E742,PV_Summary!$A$18:$A$118,0))</f>
        <v>S</v>
      </c>
      <c r="G742" s="123">
        <v>32.586930000000002</v>
      </c>
      <c r="H742" s="61">
        <v>-117.089246</v>
      </c>
      <c r="I742" s="44" t="s">
        <v>37</v>
      </c>
      <c r="J742" s="46">
        <f t="shared" si="513"/>
        <v>0.75</v>
      </c>
      <c r="K742" s="100"/>
      <c r="L742" s="44" t="str">
        <f t="shared" si="514"/>
        <v/>
      </c>
      <c r="M742" s="46">
        <f t="shared" si="515"/>
        <v>0.75</v>
      </c>
      <c r="N742" s="46"/>
      <c r="O742" s="41">
        <f t="shared" si="466"/>
        <v>0</v>
      </c>
      <c r="P742" s="42">
        <v>66000</v>
      </c>
      <c r="Q742" s="44" t="s">
        <v>37</v>
      </c>
      <c r="R742" s="28" t="s">
        <v>57</v>
      </c>
      <c r="S742" s="48">
        <f t="shared" si="516"/>
        <v>330000</v>
      </c>
      <c r="T742" s="48">
        <f t="shared" ref="T742:T773" si="517">SUMIF($C:$C,$C742,$S:$S)*IF($O742&gt;=1,1,0)</f>
        <v>0</v>
      </c>
      <c r="W742" s="28">
        <v>723</v>
      </c>
      <c r="X742" s="105">
        <v>1.4</v>
      </c>
      <c r="Y742" s="105">
        <v>9.33</v>
      </c>
      <c r="Z742" s="73" t="s">
        <v>495</v>
      </c>
      <c r="AA742" s="28">
        <v>0</v>
      </c>
    </row>
    <row r="743" spans="1:27" x14ac:dyDescent="0.25">
      <c r="A743"/>
      <c r="B743" s="98" t="s">
        <v>506</v>
      </c>
      <c r="C743" s="75" t="s">
        <v>517</v>
      </c>
      <c r="D743" s="28" t="s">
        <v>377</v>
      </c>
      <c r="E743" s="28">
        <f t="shared" si="250"/>
        <v>92154</v>
      </c>
      <c r="F743" s="143" t="str">
        <f>INDEX(PV_Summary!$B$18:$B$118,MATCH($E743,PV_Summary!$A$18:$A$118,0))</f>
        <v>S</v>
      </c>
      <c r="G743" s="123">
        <v>32.584778</v>
      </c>
      <c r="H743" s="61">
        <v>-117.09013</v>
      </c>
      <c r="I743" s="44" t="s">
        <v>37</v>
      </c>
      <c r="J743" s="46">
        <f t="shared" si="513"/>
        <v>0.75</v>
      </c>
      <c r="K743" s="100"/>
      <c r="L743" s="44" t="str">
        <f t="shared" si="514"/>
        <v/>
      </c>
      <c r="M743" s="46">
        <f t="shared" si="515"/>
        <v>0.75</v>
      </c>
      <c r="N743" s="46"/>
      <c r="O743" s="41">
        <f t="shared" si="466"/>
        <v>0</v>
      </c>
      <c r="P743" s="42">
        <v>33000</v>
      </c>
      <c r="Q743" s="44" t="s">
        <v>37</v>
      </c>
      <c r="R743" s="28" t="s">
        <v>56</v>
      </c>
      <c r="S743" s="48">
        <f t="shared" si="516"/>
        <v>198000</v>
      </c>
      <c r="T743" s="48">
        <f t="shared" si="517"/>
        <v>0</v>
      </c>
      <c r="W743" s="28">
        <v>723</v>
      </c>
      <c r="X743" s="105">
        <v>1.4</v>
      </c>
      <c r="Y743" s="105">
        <v>9.33</v>
      </c>
      <c r="Z743" s="73" t="s">
        <v>495</v>
      </c>
      <c r="AA743" s="28">
        <v>0</v>
      </c>
    </row>
    <row r="744" spans="1:27" x14ac:dyDescent="0.25">
      <c r="A744"/>
      <c r="B744" s="98" t="s">
        <v>518</v>
      </c>
      <c r="C744" s="75" t="s">
        <v>517</v>
      </c>
      <c r="D744" s="28" t="s">
        <v>377</v>
      </c>
      <c r="E744" s="28">
        <f t="shared" si="250"/>
        <v>92154</v>
      </c>
      <c r="F744" s="143" t="str">
        <f>INDEX(PV_Summary!$B$18:$B$118,MATCH($E744,PV_Summary!$A$18:$A$118,0))</f>
        <v>S</v>
      </c>
      <c r="G744" s="123">
        <v>32.584570999999997</v>
      </c>
      <c r="H744" s="61">
        <v>-117.09136100000001</v>
      </c>
      <c r="I744" s="44" t="s">
        <v>37</v>
      </c>
      <c r="J744" s="46">
        <f t="shared" si="513"/>
        <v>0.75</v>
      </c>
      <c r="K744" s="100"/>
      <c r="L744" s="44" t="str">
        <f t="shared" si="514"/>
        <v/>
      </c>
      <c r="M744" s="46">
        <f t="shared" si="515"/>
        <v>0.75</v>
      </c>
      <c r="N744" s="46"/>
      <c r="O744" s="41">
        <f t="shared" si="466"/>
        <v>0</v>
      </c>
      <c r="P744" s="42">
        <v>15000</v>
      </c>
      <c r="Q744" s="44" t="s">
        <v>37</v>
      </c>
      <c r="R744" s="28" t="s">
        <v>55</v>
      </c>
      <c r="S744" s="48">
        <f t="shared" si="516"/>
        <v>105000</v>
      </c>
      <c r="T744" s="48">
        <f t="shared" si="517"/>
        <v>0</v>
      </c>
      <c r="W744" s="28">
        <v>723</v>
      </c>
      <c r="X744" s="105">
        <v>1.4</v>
      </c>
      <c r="Y744" s="105">
        <v>9.33</v>
      </c>
      <c r="Z744" s="73" t="s">
        <v>495</v>
      </c>
      <c r="AA744" s="28">
        <v>0</v>
      </c>
    </row>
    <row r="745" spans="1:27" x14ac:dyDescent="0.25">
      <c r="A745"/>
      <c r="B745" s="98" t="s">
        <v>508</v>
      </c>
      <c r="C745" s="75" t="s">
        <v>517</v>
      </c>
      <c r="D745" s="28" t="s">
        <v>377</v>
      </c>
      <c r="E745" s="28">
        <f t="shared" si="250"/>
        <v>92154</v>
      </c>
      <c r="F745" s="143" t="str">
        <f>INDEX(PV_Summary!$B$18:$B$118,MATCH($E745,PV_Summary!$A$18:$A$118,0))</f>
        <v>S</v>
      </c>
      <c r="G745" s="123">
        <v>32.586978000000002</v>
      </c>
      <c r="H745" s="61">
        <v>-117.09021</v>
      </c>
      <c r="I745" s="44" t="s">
        <v>3</v>
      </c>
      <c r="J745" s="46">
        <f t="shared" si="513"/>
        <v>0.75</v>
      </c>
      <c r="K745" s="100"/>
      <c r="L745" s="44" t="str">
        <f t="shared" si="514"/>
        <v/>
      </c>
      <c r="M745" s="46">
        <f t="shared" si="515"/>
        <v>0.75</v>
      </c>
      <c r="N745" s="46"/>
      <c r="O745" s="41">
        <f t="shared" si="466"/>
        <v>0</v>
      </c>
      <c r="P745" s="42">
        <v>33000</v>
      </c>
      <c r="Q745" s="44" t="s">
        <v>3</v>
      </c>
      <c r="R745" s="28" t="s">
        <v>57</v>
      </c>
      <c r="S745" s="48">
        <f t="shared" si="516"/>
        <v>165000</v>
      </c>
      <c r="T745" s="48">
        <f t="shared" si="517"/>
        <v>0</v>
      </c>
      <c r="W745" s="28">
        <v>723</v>
      </c>
      <c r="X745" s="105">
        <v>1.4</v>
      </c>
      <c r="Y745" s="105">
        <v>9.33</v>
      </c>
      <c r="Z745" s="73" t="s">
        <v>495</v>
      </c>
      <c r="AA745" s="28">
        <v>0</v>
      </c>
    </row>
    <row r="746" spans="1:27" x14ac:dyDescent="0.25">
      <c r="A746"/>
      <c r="B746" s="98" t="s">
        <v>509</v>
      </c>
      <c r="C746" s="75" t="s">
        <v>517</v>
      </c>
      <c r="D746" s="28" t="s">
        <v>377</v>
      </c>
      <c r="E746" s="28">
        <f t="shared" si="250"/>
        <v>92154</v>
      </c>
      <c r="F746" s="143" t="str">
        <f>INDEX(PV_Summary!$B$18:$B$118,MATCH($E746,PV_Summary!$A$18:$A$118,0))</f>
        <v>S</v>
      </c>
      <c r="G746" s="123">
        <v>32.586916000000002</v>
      </c>
      <c r="H746" s="61">
        <v>-117.088449</v>
      </c>
      <c r="I746" s="44" t="s">
        <v>3</v>
      </c>
      <c r="J746" s="46">
        <f t="shared" si="513"/>
        <v>0.75</v>
      </c>
      <c r="K746" s="100"/>
      <c r="L746" s="44" t="str">
        <f t="shared" si="514"/>
        <v/>
      </c>
      <c r="M746" s="46">
        <f t="shared" si="515"/>
        <v>0.75</v>
      </c>
      <c r="N746" s="46"/>
      <c r="O746" s="41">
        <f t="shared" si="466"/>
        <v>0</v>
      </c>
      <c r="P746" s="42">
        <v>17000</v>
      </c>
      <c r="Q746" s="44" t="s">
        <v>3</v>
      </c>
      <c r="R746" s="28" t="s">
        <v>57</v>
      </c>
      <c r="S746" s="48">
        <f t="shared" si="516"/>
        <v>85000</v>
      </c>
      <c r="T746" s="48">
        <f t="shared" si="517"/>
        <v>0</v>
      </c>
      <c r="W746" s="28">
        <v>723</v>
      </c>
      <c r="X746" s="105">
        <v>1.4</v>
      </c>
      <c r="Y746" s="105">
        <v>9.33</v>
      </c>
      <c r="Z746" s="73" t="s">
        <v>495</v>
      </c>
      <c r="AA746" s="28">
        <v>0</v>
      </c>
    </row>
    <row r="747" spans="1:27" x14ac:dyDescent="0.25">
      <c r="A747"/>
      <c r="B747" s="98" t="s">
        <v>519</v>
      </c>
      <c r="C747" s="75" t="s">
        <v>517</v>
      </c>
      <c r="D747" s="28" t="s">
        <v>377</v>
      </c>
      <c r="E747" s="28">
        <f t="shared" si="250"/>
        <v>92154</v>
      </c>
      <c r="F747" s="143" t="str">
        <f>INDEX(PV_Summary!$B$18:$B$118,MATCH($E747,PV_Summary!$A$18:$A$118,0))</f>
        <v>S</v>
      </c>
      <c r="G747" s="123">
        <v>32.586303000000001</v>
      </c>
      <c r="H747" s="61">
        <v>-117.09094</v>
      </c>
      <c r="I747" s="44" t="s">
        <v>3</v>
      </c>
      <c r="J747" s="46">
        <f t="shared" si="513"/>
        <v>0.75</v>
      </c>
      <c r="K747" s="100"/>
      <c r="L747" s="44" t="str">
        <f t="shared" si="514"/>
        <v/>
      </c>
      <c r="M747" s="46">
        <f t="shared" si="515"/>
        <v>0.75</v>
      </c>
      <c r="N747" s="46"/>
      <c r="O747" s="41">
        <f t="shared" ref="O747:O810" si="518">IF($C747=$C746,0,COUNTIFS(Address,$C747))</f>
        <v>0</v>
      </c>
      <c r="P747" s="42">
        <v>204000</v>
      </c>
      <c r="Q747" s="44" t="s">
        <v>3</v>
      </c>
      <c r="R747" s="28" t="s">
        <v>57</v>
      </c>
      <c r="S747" s="48">
        <f t="shared" si="516"/>
        <v>1020000</v>
      </c>
      <c r="T747" s="48">
        <f t="shared" si="517"/>
        <v>0</v>
      </c>
      <c r="W747" s="28">
        <v>723</v>
      </c>
      <c r="X747" s="105">
        <v>1.4</v>
      </c>
      <c r="Y747" s="105">
        <v>9.33</v>
      </c>
      <c r="Z747" s="73" t="s">
        <v>495</v>
      </c>
      <c r="AA747" s="28">
        <v>0</v>
      </c>
    </row>
    <row r="748" spans="1:27" x14ac:dyDescent="0.25">
      <c r="A748"/>
      <c r="B748" s="98" t="s">
        <v>520</v>
      </c>
      <c r="C748" s="101" t="s">
        <v>517</v>
      </c>
      <c r="D748" s="28" t="s">
        <v>377</v>
      </c>
      <c r="E748" s="28">
        <f t="shared" si="250"/>
        <v>92154</v>
      </c>
      <c r="F748" s="143" t="str">
        <f>INDEX(PV_Summary!$B$18:$B$118,MATCH($E748,PV_Summary!$A$18:$A$118,0))</f>
        <v>S</v>
      </c>
      <c r="G748" s="123">
        <v>32.585456000000001</v>
      </c>
      <c r="H748" s="61">
        <v>-117.090767</v>
      </c>
      <c r="I748" s="44" t="s">
        <v>3</v>
      </c>
      <c r="J748" s="46">
        <f t="shared" si="513"/>
        <v>0.75</v>
      </c>
      <c r="K748" s="100"/>
      <c r="L748" s="44" t="str">
        <f t="shared" si="514"/>
        <v/>
      </c>
      <c r="M748" s="46">
        <f t="shared" si="515"/>
        <v>0.75</v>
      </c>
      <c r="N748" s="46"/>
      <c r="O748" s="41">
        <f t="shared" si="518"/>
        <v>0</v>
      </c>
      <c r="P748" s="42">
        <v>185000</v>
      </c>
      <c r="Q748" s="44" t="s">
        <v>3</v>
      </c>
      <c r="R748" s="102" t="s">
        <v>57</v>
      </c>
      <c r="S748" s="48">
        <f t="shared" si="516"/>
        <v>925000</v>
      </c>
      <c r="T748" s="48">
        <f t="shared" si="517"/>
        <v>0</v>
      </c>
      <c r="W748" s="28">
        <v>723</v>
      </c>
      <c r="X748" s="105">
        <v>1.4</v>
      </c>
      <c r="Y748" s="105">
        <v>9.33</v>
      </c>
      <c r="Z748" s="73" t="s">
        <v>495</v>
      </c>
      <c r="AA748" s="28">
        <v>0</v>
      </c>
    </row>
    <row r="749" spans="1:27" x14ac:dyDescent="0.25">
      <c r="A749"/>
      <c r="B749" s="28" t="s">
        <v>610</v>
      </c>
      <c r="C749" s="75" t="s">
        <v>504</v>
      </c>
      <c r="D749" s="28" t="s">
        <v>377</v>
      </c>
      <c r="E749" s="28">
        <f t="shared" si="250"/>
        <v>92154</v>
      </c>
      <c r="F749" s="143" t="str">
        <f>INDEX(PV_Summary!$B$18:$B$118,MATCH($E749,PV_Summary!$A$18:$A$118,0))</f>
        <v>S</v>
      </c>
      <c r="G749" s="123">
        <v>32.579596000000002</v>
      </c>
      <c r="H749" s="61">
        <v>-117.03564900000001</v>
      </c>
      <c r="I749" s="44" t="s">
        <v>62</v>
      </c>
      <c r="J749" s="46">
        <f ca="1">IF(O749&gt;1,Sym_Scl_Aggr_Parent,IF(O749&lt;1,Sym_Scl_Aggr_Child,Sym_Scl_Normal))</f>
        <v>1.5</v>
      </c>
      <c r="K749" s="100"/>
      <c r="L749" s="44" t="str">
        <f ca="1">IF(O749&gt;1,"Total","")</f>
        <v>Total</v>
      </c>
      <c r="M749" s="46">
        <f ca="1">IF(O749&gt;1,Label_Scl_Aggr_Parent,IF(O749&lt;1,Label_Scl_Aggr_Child,Label_Scl_Normal))</f>
        <v>1.25</v>
      </c>
      <c r="N749" s="46"/>
      <c r="O749" s="41">
        <f t="shared" ca="1" si="518"/>
        <v>13</v>
      </c>
      <c r="Q749" s="44"/>
      <c r="S749" s="48">
        <f t="shared" si="516"/>
        <v>0</v>
      </c>
      <c r="T749" s="48">
        <f t="shared" ca="1" si="517"/>
        <v>6846000</v>
      </c>
      <c r="W749" s="28">
        <v>460</v>
      </c>
      <c r="X749" s="105">
        <v>1.23</v>
      </c>
      <c r="Y749" s="105">
        <v>8.19</v>
      </c>
      <c r="Z749" s="73" t="s">
        <v>367</v>
      </c>
      <c r="AA749" s="28"/>
    </row>
    <row r="750" spans="1:27" x14ac:dyDescent="0.25">
      <c r="A750"/>
      <c r="B750" s="98" t="s">
        <v>505</v>
      </c>
      <c r="C750" s="75" t="s">
        <v>504</v>
      </c>
      <c r="D750" s="28" t="s">
        <v>377</v>
      </c>
      <c r="E750" s="28">
        <f t="shared" si="250"/>
        <v>92154</v>
      </c>
      <c r="F750" s="143" t="str">
        <f>INDEX(PV_Summary!$B$18:$B$118,MATCH($E750,PV_Summary!$A$18:$A$118,0))</f>
        <v>S</v>
      </c>
      <c r="G750" s="123">
        <v>32.581381</v>
      </c>
      <c r="H750" s="61">
        <v>-117.035495</v>
      </c>
      <c r="I750" s="44" t="s">
        <v>210</v>
      </c>
      <c r="J750" s="46">
        <f>IF(O750&gt;1,Sym_Scl_Aggr_Parent,IF(O750&lt;1,Sym_Scl_Aggr_Child,Sym_Scl_Normal))</f>
        <v>0.75</v>
      </c>
      <c r="K750" s="100" t="s">
        <v>157</v>
      </c>
      <c r="L750" s="44" t="str">
        <f>IF(O750&gt;1,"Total","")</f>
        <v/>
      </c>
      <c r="M750" s="46">
        <f>IF(O750&gt;1,Label_Scl_Aggr_Parent,IF(O750&lt;1,Label_Scl_Aggr_Child,Label_Scl_Normal))</f>
        <v>0.75</v>
      </c>
      <c r="N750" s="46"/>
      <c r="O750" s="41">
        <f t="shared" si="518"/>
        <v>0</v>
      </c>
      <c r="Q750" s="44" t="s">
        <v>172</v>
      </c>
      <c r="S750" s="48">
        <f t="shared" si="516"/>
        <v>0</v>
      </c>
      <c r="T750" s="48">
        <f t="shared" si="517"/>
        <v>0</v>
      </c>
      <c r="W750" s="28">
        <v>460</v>
      </c>
      <c r="X750" s="105">
        <v>1.23</v>
      </c>
      <c r="Y750" s="105">
        <v>8.19</v>
      </c>
      <c r="Z750" s="73" t="s">
        <v>367</v>
      </c>
      <c r="AA750" s="28">
        <v>100</v>
      </c>
    </row>
    <row r="751" spans="1:27" x14ac:dyDescent="0.25">
      <c r="A751"/>
      <c r="B751" s="98" t="s">
        <v>506</v>
      </c>
      <c r="C751" s="75" t="s">
        <v>504</v>
      </c>
      <c r="D751" s="28" t="s">
        <v>377</v>
      </c>
      <c r="E751" s="28">
        <f t="shared" si="250"/>
        <v>92154</v>
      </c>
      <c r="F751" s="143" t="str">
        <f>INDEX(PV_Summary!$B$18:$B$118,MATCH($E751,PV_Summary!$A$18:$A$118,0))</f>
        <v>S</v>
      </c>
      <c r="G751" s="123">
        <v>32.582895999999998</v>
      </c>
      <c r="H751" s="61">
        <v>-117.034677</v>
      </c>
      <c r="I751" s="44" t="s">
        <v>37</v>
      </c>
      <c r="J751" s="46">
        <f>IF(O751&gt;1,Sym_Scl_Aggr_Parent,IF(O751&lt;1,Sym_Scl_Aggr_Child,Sym_Scl_Normal))</f>
        <v>0.75</v>
      </c>
      <c r="K751" s="100"/>
      <c r="L751" s="44" t="str">
        <f>IF(O751&gt;1,"Total","")</f>
        <v/>
      </c>
      <c r="M751" s="46">
        <f>IF(O751&gt;1,Label_Scl_Aggr_Parent,IF(O751&lt;1,Label_Scl_Aggr_Child,Label_Scl_Normal))</f>
        <v>0.75</v>
      </c>
      <c r="N751" s="81"/>
      <c r="O751" s="41">
        <f t="shared" si="518"/>
        <v>0</v>
      </c>
      <c r="P751" s="42">
        <v>32000</v>
      </c>
      <c r="Q751" s="44" t="s">
        <v>37</v>
      </c>
      <c r="R751" s="28" t="s">
        <v>55</v>
      </c>
      <c r="S751" s="48">
        <f t="shared" si="516"/>
        <v>224000</v>
      </c>
      <c r="T751" s="48">
        <f t="shared" si="517"/>
        <v>0</v>
      </c>
      <c r="W751" s="28">
        <v>460</v>
      </c>
      <c r="X751" s="105">
        <v>1.23</v>
      </c>
      <c r="Y751" s="105">
        <v>8.19</v>
      </c>
      <c r="Z751" s="73" t="s">
        <v>367</v>
      </c>
      <c r="AA751" s="28">
        <v>100</v>
      </c>
    </row>
    <row r="752" spans="1:27" x14ac:dyDescent="0.25">
      <c r="A752"/>
      <c r="B752" s="98" t="s">
        <v>507</v>
      </c>
      <c r="C752" s="75" t="s">
        <v>504</v>
      </c>
      <c r="D752" s="28" t="s">
        <v>377</v>
      </c>
      <c r="E752" s="28">
        <f t="shared" si="250"/>
        <v>92154</v>
      </c>
      <c r="F752" s="143" t="str">
        <f>INDEX(PV_Summary!$B$18:$B$118,MATCH($E752,PV_Summary!$A$18:$A$118,0))</f>
        <v>S</v>
      </c>
      <c r="G752" s="123">
        <v>32.578884000000002</v>
      </c>
      <c r="H752" s="61">
        <v>-117.036733</v>
      </c>
      <c r="I752" s="76" t="s">
        <v>37</v>
      </c>
      <c r="J752" s="46">
        <f>IF(O752&gt;1,Sym_Scl_Aggr_Parent,IF(O752&lt;1,Sym_Scl_Aggr_Child,Sym_Scl_Normal))</f>
        <v>0.75</v>
      </c>
      <c r="K752" s="100"/>
      <c r="L752" s="44" t="str">
        <f>IF(O752&gt;1,"Total","")</f>
        <v/>
      </c>
      <c r="M752" s="46">
        <f>IF(O752&gt;1,Label_Scl_Aggr_Parent,IF(O752&lt;1,Label_Scl_Aggr_Child,Label_Scl_Normal))</f>
        <v>0.75</v>
      </c>
      <c r="N752" s="81"/>
      <c r="O752" s="41">
        <f t="shared" si="518"/>
        <v>0</v>
      </c>
      <c r="P752" s="42">
        <f>25000+N("N")-3000+36000+N("middle")-3000+22000+N("S")-3000</f>
        <v>74000</v>
      </c>
      <c r="Q752" s="44" t="s">
        <v>37</v>
      </c>
      <c r="R752" s="28" t="s">
        <v>55</v>
      </c>
      <c r="S752" s="48">
        <f t="shared" si="516"/>
        <v>518000</v>
      </c>
      <c r="T752" s="48">
        <f t="shared" si="517"/>
        <v>0</v>
      </c>
      <c r="W752" s="28">
        <v>460</v>
      </c>
      <c r="X752" s="105">
        <v>1.23</v>
      </c>
      <c r="Y752" s="105">
        <v>8.19</v>
      </c>
      <c r="Z752" s="73" t="s">
        <v>367</v>
      </c>
      <c r="AA752" s="28">
        <v>100</v>
      </c>
    </row>
    <row r="753" spans="1:27" x14ac:dyDescent="0.25">
      <c r="A753" s="4"/>
      <c r="B753" s="98" t="s">
        <v>513</v>
      </c>
      <c r="C753" s="75" t="s">
        <v>504</v>
      </c>
      <c r="D753" s="28" t="s">
        <v>377</v>
      </c>
      <c r="E753" s="28">
        <f t="shared" si="250"/>
        <v>92154</v>
      </c>
      <c r="F753" s="143" t="str">
        <f>INDEX(PV_Summary!$B$18:$B$118,MATCH($E753,PV_Summary!$A$18:$A$118,0))</f>
        <v>S</v>
      </c>
      <c r="G753" s="123">
        <v>32.576320000000003</v>
      </c>
      <c r="H753" s="61">
        <v>-117.037362</v>
      </c>
      <c r="I753" s="76" t="s">
        <v>37</v>
      </c>
      <c r="J753" s="46">
        <f t="shared" ref="J753:J762" si="519">IF(O753&gt;1,Sym_Scl_Aggr_Parent,IF(O753&lt;1,Sym_Scl_Aggr_Child,Sym_Scl_Normal))</f>
        <v>0.75</v>
      </c>
      <c r="K753" s="100"/>
      <c r="L753" s="44" t="str">
        <f t="shared" ref="L753:L762" si="520">IF(O753&gt;1,"Total","")</f>
        <v/>
      </c>
      <c r="M753" s="46">
        <f t="shared" ref="M753:M762" si="521">IF(O753&gt;1,Label_Scl_Aggr_Parent,IF(O753&lt;1,Label_Scl_Aggr_Child,Label_Scl_Normal))</f>
        <v>0.75</v>
      </c>
      <c r="N753" s="81"/>
      <c r="O753" s="41">
        <f t="shared" si="518"/>
        <v>0</v>
      </c>
      <c r="P753" s="42">
        <v>106000</v>
      </c>
      <c r="Q753" s="44" t="s">
        <v>37</v>
      </c>
      <c r="R753" s="28" t="s">
        <v>55</v>
      </c>
      <c r="S753" s="48">
        <f t="shared" si="516"/>
        <v>742000</v>
      </c>
      <c r="T753" s="48">
        <f t="shared" si="517"/>
        <v>0</v>
      </c>
      <c r="W753" s="28">
        <v>460</v>
      </c>
      <c r="X753" s="105">
        <v>1.23</v>
      </c>
      <c r="Y753" s="105">
        <v>8.19</v>
      </c>
      <c r="Z753" s="73" t="s">
        <v>367</v>
      </c>
      <c r="AA753" s="28">
        <v>100</v>
      </c>
    </row>
    <row r="754" spans="1:27" x14ac:dyDescent="0.25">
      <c r="A754"/>
      <c r="B754" s="98" t="s">
        <v>508</v>
      </c>
      <c r="C754" s="75" t="s">
        <v>504</v>
      </c>
      <c r="D754" s="28" t="s">
        <v>377</v>
      </c>
      <c r="E754" s="28">
        <f t="shared" si="250"/>
        <v>92154</v>
      </c>
      <c r="F754" s="143" t="str">
        <f>INDEX(PV_Summary!$B$18:$B$118,MATCH($E754,PV_Summary!$A$18:$A$118,0))</f>
        <v>S</v>
      </c>
      <c r="G754" s="123">
        <v>32.582827000000002</v>
      </c>
      <c r="H754" s="61">
        <v>-117.033783</v>
      </c>
      <c r="I754" s="76" t="s">
        <v>3</v>
      </c>
      <c r="J754" s="46">
        <f t="shared" si="519"/>
        <v>0.75</v>
      </c>
      <c r="K754" s="100"/>
      <c r="L754" s="44" t="str">
        <f t="shared" si="520"/>
        <v/>
      </c>
      <c r="M754" s="46">
        <f t="shared" si="521"/>
        <v>0.75</v>
      </c>
      <c r="N754" s="81"/>
      <c r="O754" s="41">
        <f t="shared" si="518"/>
        <v>0</v>
      </c>
      <c r="P754" s="42">
        <v>94000</v>
      </c>
      <c r="Q754" s="44" t="s">
        <v>3</v>
      </c>
      <c r="R754" s="28" t="s">
        <v>55</v>
      </c>
      <c r="S754" s="48">
        <f t="shared" si="516"/>
        <v>658000</v>
      </c>
      <c r="T754" s="48">
        <f t="shared" si="517"/>
        <v>0</v>
      </c>
      <c r="U754" s="77"/>
      <c r="V754" s="168"/>
      <c r="W754" s="28">
        <v>460</v>
      </c>
      <c r="X754" s="105">
        <v>1.23</v>
      </c>
      <c r="Y754" s="105">
        <v>8.19</v>
      </c>
      <c r="Z754" s="73" t="s">
        <v>367</v>
      </c>
      <c r="AA754" s="28">
        <v>100</v>
      </c>
    </row>
    <row r="755" spans="1:27" x14ac:dyDescent="0.25">
      <c r="A755"/>
      <c r="B755" s="98" t="s">
        <v>509</v>
      </c>
      <c r="C755" s="75" t="s">
        <v>504</v>
      </c>
      <c r="D755" s="28" t="s">
        <v>377</v>
      </c>
      <c r="E755" s="28">
        <f t="shared" si="250"/>
        <v>92154</v>
      </c>
      <c r="F755" s="143" t="str">
        <f>INDEX(PV_Summary!$B$18:$B$118,MATCH($E755,PV_Summary!$A$18:$A$118,0))</f>
        <v>S</v>
      </c>
      <c r="G755" s="123">
        <v>32.580705000000002</v>
      </c>
      <c r="H755" s="61">
        <v>-117.03458999999999</v>
      </c>
      <c r="I755" s="76" t="s">
        <v>3</v>
      </c>
      <c r="J755" s="46">
        <f>IF(O755&gt;1,Sym_Scl_Aggr_Parent,IF(O755&lt;1,Sym_Scl_Aggr_Child,Sym_Scl_Normal))</f>
        <v>0.75</v>
      </c>
      <c r="K755" s="100"/>
      <c r="L755" s="44" t="str">
        <f>IF(O755&gt;1,"Total","")</f>
        <v/>
      </c>
      <c r="M755" s="46">
        <f>IF(O755&gt;1,Label_Scl_Aggr_Parent,IF(O755&lt;1,Label_Scl_Aggr_Child,Label_Scl_Normal))</f>
        <v>0.75</v>
      </c>
      <c r="N755" s="81"/>
      <c r="O755" s="41">
        <f t="shared" si="518"/>
        <v>0</v>
      </c>
      <c r="P755" s="42">
        <v>275000</v>
      </c>
      <c r="Q755" s="44" t="s">
        <v>3</v>
      </c>
      <c r="R755" s="28" t="s">
        <v>55</v>
      </c>
      <c r="S755" s="48">
        <f t="shared" si="516"/>
        <v>1925000</v>
      </c>
      <c r="T755" s="48">
        <f t="shared" si="517"/>
        <v>0</v>
      </c>
      <c r="U755" s="77"/>
      <c r="V755" s="168"/>
      <c r="W755" s="28">
        <v>460</v>
      </c>
      <c r="X755" s="105">
        <v>1.23</v>
      </c>
      <c r="Y755" s="105">
        <v>8.19</v>
      </c>
      <c r="Z755" s="73" t="s">
        <v>367</v>
      </c>
      <c r="AA755" s="28">
        <v>100</v>
      </c>
    </row>
    <row r="756" spans="1:27" x14ac:dyDescent="0.25">
      <c r="A756" s="4"/>
      <c r="B756" s="98" t="s">
        <v>611</v>
      </c>
      <c r="C756" s="75" t="s">
        <v>504</v>
      </c>
      <c r="D756" s="28" t="s">
        <v>377</v>
      </c>
      <c r="E756" s="28">
        <f t="shared" si="250"/>
        <v>92154</v>
      </c>
      <c r="F756" s="143" t="str">
        <f>INDEX(PV_Summary!$B$18:$B$118,MATCH($E756,PV_Summary!$A$18:$A$118,0))</f>
        <v>S</v>
      </c>
      <c r="G756" s="123">
        <v>32.580241000000001</v>
      </c>
      <c r="H756" s="61">
        <v>-117.036164</v>
      </c>
      <c r="I756" s="76" t="s">
        <v>3</v>
      </c>
      <c r="J756" s="46">
        <f>IF(O756&gt;1,Sym_Scl_Aggr_Parent,IF(O756&lt;1,Sym_Scl_Aggr_Child,Sym_Scl_Normal))</f>
        <v>0.75</v>
      </c>
      <c r="K756" s="100"/>
      <c r="L756" s="44" t="str">
        <f>IF(O756&gt;1,"Total","")</f>
        <v/>
      </c>
      <c r="M756" s="46">
        <f>IF(O756&gt;1,Label_Scl_Aggr_Parent,IF(O756&lt;1,Label_Scl_Aggr_Child,Label_Scl_Normal))</f>
        <v>0.75</v>
      </c>
      <c r="N756" s="81"/>
      <c r="O756" s="41">
        <f t="shared" si="518"/>
        <v>0</v>
      </c>
      <c r="P756" s="42">
        <v>81000</v>
      </c>
      <c r="Q756" s="44" t="s">
        <v>3</v>
      </c>
      <c r="R756" s="28" t="s">
        <v>55</v>
      </c>
      <c r="S756" s="48">
        <f t="shared" si="516"/>
        <v>567000</v>
      </c>
      <c r="T756" s="48">
        <f t="shared" si="517"/>
        <v>0</v>
      </c>
      <c r="U756" s="77"/>
      <c r="V756" s="168"/>
      <c r="W756" s="28">
        <v>460</v>
      </c>
      <c r="X756" s="105">
        <v>1.23</v>
      </c>
      <c r="Y756" s="105">
        <v>8.19</v>
      </c>
      <c r="Z756" s="73" t="s">
        <v>367</v>
      </c>
      <c r="AA756" s="28">
        <v>100</v>
      </c>
    </row>
    <row r="757" spans="1:27" x14ac:dyDescent="0.25">
      <c r="A757"/>
      <c r="B757" s="98" t="s">
        <v>510</v>
      </c>
      <c r="C757" s="75" t="s">
        <v>504</v>
      </c>
      <c r="D757" s="28" t="s">
        <v>377</v>
      </c>
      <c r="E757" s="28">
        <f t="shared" si="250"/>
        <v>92154</v>
      </c>
      <c r="F757" s="143" t="str">
        <f>INDEX(PV_Summary!$B$18:$B$118,MATCH($E757,PV_Summary!$A$18:$A$118,0))</f>
        <v>S</v>
      </c>
      <c r="G757" s="123">
        <v>32.579073000000001</v>
      </c>
      <c r="H757" s="61">
        <v>-117.03554099999999</v>
      </c>
      <c r="I757" s="44" t="s">
        <v>3</v>
      </c>
      <c r="J757" s="46">
        <f>IF(O757&gt;1,Sym_Scl_Aggr_Parent,IF(O757&lt;1,Sym_Scl_Aggr_Child,Sym_Scl_Normal))</f>
        <v>0.75</v>
      </c>
      <c r="K757" s="100"/>
      <c r="L757" s="44" t="str">
        <f>IF(O757&gt;1,"Total","")</f>
        <v/>
      </c>
      <c r="M757" s="46">
        <f>IF(O757&gt;1,Label_Scl_Aggr_Parent,IF(O757&lt;1,Label_Scl_Aggr_Child,Label_Scl_Normal))</f>
        <v>0.75</v>
      </c>
      <c r="N757" s="81"/>
      <c r="O757" s="41">
        <f t="shared" si="518"/>
        <v>0</v>
      </c>
      <c r="P757" s="42">
        <v>20000</v>
      </c>
      <c r="Q757" s="44" t="s">
        <v>3</v>
      </c>
      <c r="R757" s="28" t="s">
        <v>55</v>
      </c>
      <c r="S757" s="48">
        <f t="shared" si="516"/>
        <v>140000</v>
      </c>
      <c r="T757" s="48">
        <f t="shared" si="517"/>
        <v>0</v>
      </c>
      <c r="W757" s="28">
        <v>460</v>
      </c>
      <c r="X757" s="105">
        <v>1.23</v>
      </c>
      <c r="Y757" s="105">
        <v>8.19</v>
      </c>
      <c r="Z757" s="73" t="s">
        <v>367</v>
      </c>
      <c r="AA757" s="28">
        <v>100</v>
      </c>
    </row>
    <row r="758" spans="1:27" x14ac:dyDescent="0.25">
      <c r="A758"/>
      <c r="B758" s="98" t="s">
        <v>511</v>
      </c>
      <c r="C758" s="75" t="s">
        <v>504</v>
      </c>
      <c r="D758" s="28" t="s">
        <v>377</v>
      </c>
      <c r="E758" s="28">
        <f t="shared" si="250"/>
        <v>92154</v>
      </c>
      <c r="F758" s="143" t="str">
        <f>INDEX(PV_Summary!$B$18:$B$118,MATCH($E758,PV_Summary!$A$18:$A$118,0))</f>
        <v>S</v>
      </c>
      <c r="G758" s="123">
        <v>32.578037999999999</v>
      </c>
      <c r="H758" s="61">
        <v>-117.03570000000001</v>
      </c>
      <c r="I758" s="44" t="s">
        <v>3</v>
      </c>
      <c r="J758" s="46">
        <f>IF(O758&gt;1,Sym_Scl_Aggr_Parent,IF(O758&lt;1,Sym_Scl_Aggr_Child,Sym_Scl_Normal))</f>
        <v>0.75</v>
      </c>
      <c r="K758" s="100"/>
      <c r="L758" s="44" t="str">
        <f>IF(O758&gt;1,"Total","")</f>
        <v/>
      </c>
      <c r="M758" s="46">
        <f>IF(O758&gt;1,Label_Scl_Aggr_Parent,IF(O758&lt;1,Label_Scl_Aggr_Child,Label_Scl_Normal))</f>
        <v>0.75</v>
      </c>
      <c r="N758" s="81"/>
      <c r="O758" s="41">
        <f t="shared" si="518"/>
        <v>0</v>
      </c>
      <c r="P758" s="42">
        <v>108000</v>
      </c>
      <c r="Q758" s="44" t="s">
        <v>3</v>
      </c>
      <c r="R758" s="28" t="s">
        <v>55</v>
      </c>
      <c r="S758" s="48">
        <f t="shared" si="516"/>
        <v>756000</v>
      </c>
      <c r="T758" s="48">
        <f t="shared" si="517"/>
        <v>0</v>
      </c>
      <c r="W758" s="28">
        <v>460</v>
      </c>
      <c r="X758" s="105">
        <v>1.23</v>
      </c>
      <c r="Y758" s="105">
        <v>8.19</v>
      </c>
      <c r="Z758" s="73" t="s">
        <v>367</v>
      </c>
      <c r="AA758" s="28">
        <v>100</v>
      </c>
    </row>
    <row r="759" spans="1:27" x14ac:dyDescent="0.25">
      <c r="A759"/>
      <c r="B759" s="98" t="s">
        <v>512</v>
      </c>
      <c r="C759" s="75" t="s">
        <v>504</v>
      </c>
      <c r="D759" s="28" t="s">
        <v>377</v>
      </c>
      <c r="E759" s="28">
        <f t="shared" si="250"/>
        <v>92154</v>
      </c>
      <c r="F759" s="143" t="str">
        <f>INDEX(PV_Summary!$B$18:$B$118,MATCH($E759,PV_Summary!$A$18:$A$118,0))</f>
        <v>S</v>
      </c>
      <c r="G759" s="123">
        <v>32.577995000000001</v>
      </c>
      <c r="H759" s="61">
        <v>-117.03698199999999</v>
      </c>
      <c r="I759" s="44" t="s">
        <v>3</v>
      </c>
      <c r="J759" s="46">
        <f t="shared" si="519"/>
        <v>0.75</v>
      </c>
      <c r="K759" s="100"/>
      <c r="L759" s="44" t="str">
        <f t="shared" si="520"/>
        <v/>
      </c>
      <c r="M759" s="46">
        <f t="shared" si="521"/>
        <v>0.75</v>
      </c>
      <c r="N759" s="81"/>
      <c r="O759" s="41">
        <f t="shared" si="518"/>
        <v>0</v>
      </c>
      <c r="P759" s="42">
        <v>61000</v>
      </c>
      <c r="Q759" s="44" t="s">
        <v>3</v>
      </c>
      <c r="R759" s="28" t="s">
        <v>55</v>
      </c>
      <c r="S759" s="48">
        <f t="shared" si="516"/>
        <v>427000</v>
      </c>
      <c r="T759" s="48">
        <f t="shared" si="517"/>
        <v>0</v>
      </c>
      <c r="W759" s="28">
        <v>460</v>
      </c>
      <c r="X759" s="105">
        <v>1.23</v>
      </c>
      <c r="Y759" s="105">
        <v>8.19</v>
      </c>
      <c r="Z759" s="73" t="s">
        <v>367</v>
      </c>
      <c r="AA759" s="28">
        <v>100</v>
      </c>
    </row>
    <row r="760" spans="1:27" x14ac:dyDescent="0.25">
      <c r="A760" s="4"/>
      <c r="B760" s="98" t="s">
        <v>514</v>
      </c>
      <c r="C760" s="75" t="s">
        <v>504</v>
      </c>
      <c r="D760" s="28" t="s">
        <v>377</v>
      </c>
      <c r="E760" s="28">
        <f t="shared" si="250"/>
        <v>92154</v>
      </c>
      <c r="F760" s="143" t="str">
        <f>INDEX(PV_Summary!$B$18:$B$118,MATCH($E760,PV_Summary!$A$18:$A$118,0))</f>
        <v>S</v>
      </c>
      <c r="G760" s="123">
        <v>32.576402000000002</v>
      </c>
      <c r="H760" s="61">
        <v>-117.036345</v>
      </c>
      <c r="I760" s="44" t="s">
        <v>3</v>
      </c>
      <c r="J760" s="46">
        <f t="shared" si="519"/>
        <v>0.75</v>
      </c>
      <c r="K760" s="100"/>
      <c r="L760" s="44" t="str">
        <f t="shared" si="520"/>
        <v/>
      </c>
      <c r="M760" s="46">
        <f t="shared" si="521"/>
        <v>0.75</v>
      </c>
      <c r="N760" s="81"/>
      <c r="O760" s="41">
        <f t="shared" si="518"/>
        <v>0</v>
      </c>
      <c r="P760" s="42">
        <v>72000</v>
      </c>
      <c r="Q760" s="44" t="s">
        <v>3</v>
      </c>
      <c r="R760" s="28" t="s">
        <v>55</v>
      </c>
      <c r="S760" s="48">
        <f t="shared" si="516"/>
        <v>504000</v>
      </c>
      <c r="T760" s="48">
        <f t="shared" si="517"/>
        <v>0</v>
      </c>
      <c r="W760" s="28">
        <v>460</v>
      </c>
      <c r="X760" s="105">
        <v>1.23</v>
      </c>
      <c r="Y760" s="105">
        <v>8.19</v>
      </c>
      <c r="Z760" s="73" t="s">
        <v>367</v>
      </c>
      <c r="AA760" s="28">
        <v>100</v>
      </c>
    </row>
    <row r="761" spans="1:27" x14ac:dyDescent="0.25">
      <c r="A761" s="4"/>
      <c r="B761" s="98" t="s">
        <v>515</v>
      </c>
      <c r="C761" s="75" t="s">
        <v>504</v>
      </c>
      <c r="D761" s="28" t="s">
        <v>377</v>
      </c>
      <c r="E761" s="28">
        <f t="shared" si="250"/>
        <v>92154</v>
      </c>
      <c r="F761" s="143" t="str">
        <f>INDEX(PV_Summary!$B$18:$B$118,MATCH($E761,PV_Summary!$A$18:$A$118,0))</f>
        <v>S</v>
      </c>
      <c r="G761" s="123">
        <v>32.576306000000002</v>
      </c>
      <c r="H761" s="61">
        <v>-117.03571599999999</v>
      </c>
      <c r="I761" s="44" t="s">
        <v>3</v>
      </c>
      <c r="J761" s="46">
        <f t="shared" si="519"/>
        <v>0.75</v>
      </c>
      <c r="K761" s="100"/>
      <c r="L761" s="44" t="str">
        <f t="shared" si="520"/>
        <v/>
      </c>
      <c r="M761" s="46">
        <f t="shared" si="521"/>
        <v>0.75</v>
      </c>
      <c r="N761" s="81"/>
      <c r="O761" s="41">
        <f t="shared" si="518"/>
        <v>0</v>
      </c>
      <c r="P761" s="42">
        <v>55000</v>
      </c>
      <c r="Q761" s="44" t="s">
        <v>3</v>
      </c>
      <c r="R761" s="28" t="s">
        <v>55</v>
      </c>
      <c r="S761" s="48">
        <f t="shared" si="516"/>
        <v>385000</v>
      </c>
      <c r="T761" s="48">
        <f t="shared" si="517"/>
        <v>0</v>
      </c>
      <c r="W761" s="28">
        <v>460</v>
      </c>
      <c r="X761" s="105">
        <v>1.23</v>
      </c>
      <c r="Y761" s="105">
        <v>8.19</v>
      </c>
      <c r="Z761" s="73" t="s">
        <v>367</v>
      </c>
      <c r="AA761" s="28">
        <v>100</v>
      </c>
    </row>
    <row r="762" spans="1:27" x14ac:dyDescent="0.25">
      <c r="A762"/>
      <c r="B762" s="28" t="s">
        <v>502</v>
      </c>
      <c r="C762" s="75" t="s">
        <v>503</v>
      </c>
      <c r="D762" s="28" t="s">
        <v>377</v>
      </c>
      <c r="E762" s="28">
        <f t="shared" si="250"/>
        <v>92154</v>
      </c>
      <c r="F762" s="143" t="str">
        <f>INDEX(PV_Summary!$B$18:$B$118,MATCH($E762,PV_Summary!$A$18:$A$118,0))</f>
        <v>S</v>
      </c>
      <c r="G762" s="123">
        <v>32.571157999999997</v>
      </c>
      <c r="H762" s="61">
        <v>-117.06873400000001</v>
      </c>
      <c r="I762" s="44" t="s">
        <v>37</v>
      </c>
      <c r="J762" s="46">
        <f t="shared" ca="1" si="519"/>
        <v>1</v>
      </c>
      <c r="K762" s="100"/>
      <c r="L762" s="44" t="str">
        <f t="shared" ca="1" si="520"/>
        <v/>
      </c>
      <c r="M762" s="46">
        <f t="shared" ca="1" si="521"/>
        <v>1</v>
      </c>
      <c r="N762" s="81"/>
      <c r="O762" s="41">
        <f t="shared" ca="1" si="518"/>
        <v>1</v>
      </c>
      <c r="P762" s="42">
        <v>100200</v>
      </c>
      <c r="Q762" s="44" t="s">
        <v>37</v>
      </c>
      <c r="R762" s="28" t="s">
        <v>55</v>
      </c>
      <c r="S762" s="48">
        <f t="shared" si="516"/>
        <v>701400</v>
      </c>
      <c r="T762" s="48">
        <f t="shared" ca="1" si="517"/>
        <v>701400</v>
      </c>
      <c r="W762" s="28">
        <v>334</v>
      </c>
      <c r="X762" s="105">
        <v>1.22</v>
      </c>
      <c r="Y762" s="105">
        <v>8.11</v>
      </c>
      <c r="Z762" s="73" t="s">
        <v>367</v>
      </c>
      <c r="AA762" s="28">
        <v>200</v>
      </c>
    </row>
    <row r="763" spans="1:27" x14ac:dyDescent="0.25">
      <c r="A763"/>
      <c r="B763" s="28" t="s">
        <v>368</v>
      </c>
      <c r="C763" s="75" t="s">
        <v>366</v>
      </c>
      <c r="D763" s="75" t="s">
        <v>357</v>
      </c>
      <c r="E763" s="28">
        <f>RIGHT(TRIM(D763),5)*1</f>
        <v>92173</v>
      </c>
      <c r="F763" s="143" t="str">
        <f>INDEX(PV_Summary!$B$18:$B$118,MATCH($E763,PV_Summary!$A$18:$A$118,0))</f>
        <v>S</v>
      </c>
      <c r="G763" s="123">
        <v>32.546146</v>
      </c>
      <c r="H763" s="61">
        <v>-117.039539</v>
      </c>
      <c r="I763" s="80" t="s">
        <v>62</v>
      </c>
      <c r="J763" s="46">
        <f t="shared" ref="J763:J771" ca="1" si="522">IF(O763&gt;1,Sym_Scl_Aggr_Parent,IF(O763&lt;1,Sym_Scl_Aggr_Child,Sym_Scl_Normal))</f>
        <v>1.5</v>
      </c>
      <c r="K763" s="100"/>
      <c r="L763" s="44" t="str">
        <f t="shared" ref="L763:L826" ca="1" si="523">IF(O763&gt;1,"Total","")</f>
        <v>Total</v>
      </c>
      <c r="M763" s="46">
        <f t="shared" ref="M763:M771" ca="1" si="524">IF(O763&gt;1,Label_Scl_Aggr_Parent,IF(O763&lt;1,Label_Scl_Aggr_Child,Label_Scl_Normal))</f>
        <v>1.25</v>
      </c>
      <c r="N763" s="46"/>
      <c r="O763" s="41">
        <f t="shared" ca="1" si="518"/>
        <v>8</v>
      </c>
      <c r="Q763" s="80"/>
      <c r="S763" s="48">
        <f t="shared" si="516"/>
        <v>0</v>
      </c>
      <c r="T763" s="48">
        <f t="shared" ca="1" si="517"/>
        <v>1815000</v>
      </c>
      <c r="V763" s="143">
        <v>76</v>
      </c>
      <c r="W763" s="28" t="s">
        <v>604</v>
      </c>
      <c r="X763" s="105"/>
      <c r="Y763" s="105"/>
      <c r="Z763" s="73" t="s">
        <v>367</v>
      </c>
      <c r="AA763" s="28"/>
    </row>
    <row r="764" spans="1:27" x14ac:dyDescent="0.25">
      <c r="A764" s="4"/>
      <c r="B764" s="98" t="s">
        <v>612</v>
      </c>
      <c r="C764" s="75" t="s">
        <v>366</v>
      </c>
      <c r="D764" s="75" t="s">
        <v>357</v>
      </c>
      <c r="E764" s="28">
        <f t="shared" ref="E764:E827" si="525">RIGHT(TRIM(D764),5)*1</f>
        <v>92173</v>
      </c>
      <c r="F764" s="143" t="str">
        <f>INDEX(PV_Summary!$B$18:$B$118,MATCH($E764,PV_Summary!$A$18:$A$118,0))</f>
        <v>S</v>
      </c>
      <c r="G764" s="123">
        <v>32.546807000000001</v>
      </c>
      <c r="H764" s="61">
        <v>-117.040306</v>
      </c>
      <c r="I764" s="80" t="s">
        <v>37</v>
      </c>
      <c r="J764" s="46">
        <f t="shared" si="522"/>
        <v>0.75</v>
      </c>
      <c r="K764" s="100"/>
      <c r="L764" s="44" t="str">
        <f t="shared" si="523"/>
        <v/>
      </c>
      <c r="M764" s="46">
        <f t="shared" si="524"/>
        <v>0.75</v>
      </c>
      <c r="N764" s="46"/>
      <c r="O764" s="41">
        <f t="shared" si="518"/>
        <v>0</v>
      </c>
      <c r="P764" s="42">
        <v>89000</v>
      </c>
      <c r="Q764" s="44" t="s">
        <v>37</v>
      </c>
      <c r="R764" s="28" t="s">
        <v>56</v>
      </c>
      <c r="S764" s="48">
        <f t="shared" ref="S764:S770" si="526">IF(ISNUMBER(FIND("Existing",$Q764)),0,IF($P764=0,0,INDEX(PV_W_Type_Rating_Tbl,MATCH($Q764,PV_Type_List,0),MATCH($R764,Rating_List,0)+4*DC_AC_Num)*$P764))</f>
        <v>534000</v>
      </c>
      <c r="T764" s="48">
        <f t="shared" si="517"/>
        <v>0</v>
      </c>
      <c r="V764" s="143">
        <v>76</v>
      </c>
      <c r="W764" s="28">
        <v>461</v>
      </c>
      <c r="X764" s="105">
        <v>1.44</v>
      </c>
      <c r="Y764" s="105">
        <v>9.6199999999999992</v>
      </c>
      <c r="Z764" s="73" t="s">
        <v>367</v>
      </c>
      <c r="AA764" s="28">
        <v>0</v>
      </c>
    </row>
    <row r="765" spans="1:27" x14ac:dyDescent="0.25">
      <c r="A765" s="4"/>
      <c r="B765" s="98" t="s">
        <v>501</v>
      </c>
      <c r="C765" s="75" t="s">
        <v>366</v>
      </c>
      <c r="D765" s="75" t="s">
        <v>357</v>
      </c>
      <c r="E765" s="28">
        <f t="shared" si="525"/>
        <v>92173</v>
      </c>
      <c r="F765" s="143" t="str">
        <f>INDEX(PV_Summary!$B$18:$B$118,MATCH($E765,PV_Summary!$A$18:$A$118,0))</f>
        <v>S</v>
      </c>
      <c r="G765" s="123">
        <v>32.546602</v>
      </c>
      <c r="H765" s="61">
        <v>-117.03888600000001</v>
      </c>
      <c r="I765" s="80" t="s">
        <v>37</v>
      </c>
      <c r="J765" s="46">
        <f t="shared" si="522"/>
        <v>0.75</v>
      </c>
      <c r="K765" s="100"/>
      <c r="L765" s="44" t="str">
        <f t="shared" si="523"/>
        <v/>
      </c>
      <c r="M765" s="46">
        <f t="shared" si="524"/>
        <v>0.75</v>
      </c>
      <c r="N765" s="46"/>
      <c r="O765" s="41">
        <f t="shared" si="518"/>
        <v>0</v>
      </c>
      <c r="P765" s="42">
        <v>32000</v>
      </c>
      <c r="Q765" s="44" t="s">
        <v>37</v>
      </c>
      <c r="R765" s="28" t="s">
        <v>56</v>
      </c>
      <c r="S765" s="48">
        <f t="shared" si="526"/>
        <v>192000</v>
      </c>
      <c r="T765" s="48">
        <f t="shared" si="517"/>
        <v>0</v>
      </c>
      <c r="V765" s="143">
        <v>76</v>
      </c>
      <c r="W765" s="28">
        <v>1201</v>
      </c>
      <c r="X765" s="105">
        <v>1.48</v>
      </c>
      <c r="Y765" s="105">
        <v>9.89</v>
      </c>
      <c r="Z765" s="73" t="s">
        <v>367</v>
      </c>
      <c r="AA765" s="28">
        <v>100</v>
      </c>
    </row>
    <row r="766" spans="1:27" x14ac:dyDescent="0.25">
      <c r="A766" s="4"/>
      <c r="B766" s="98" t="s">
        <v>613</v>
      </c>
      <c r="C766" s="75" t="s">
        <v>366</v>
      </c>
      <c r="D766" s="75" t="s">
        <v>357</v>
      </c>
      <c r="E766" s="28">
        <f t="shared" si="525"/>
        <v>92173</v>
      </c>
      <c r="F766" s="143" t="str">
        <f>INDEX(PV_Summary!$B$18:$B$118,MATCH($E766,PV_Summary!$A$18:$A$118,0))</f>
        <v>S</v>
      </c>
      <c r="G766" s="123">
        <v>32.546424000000002</v>
      </c>
      <c r="H766" s="61">
        <v>-117.03803499999999</v>
      </c>
      <c r="I766" s="80" t="s">
        <v>37</v>
      </c>
      <c r="J766" s="46">
        <f t="shared" si="522"/>
        <v>0.75</v>
      </c>
      <c r="K766" s="100"/>
      <c r="L766" s="44" t="str">
        <f t="shared" si="523"/>
        <v/>
      </c>
      <c r="M766" s="46">
        <f t="shared" si="524"/>
        <v>0.75</v>
      </c>
      <c r="N766" s="46"/>
      <c r="O766" s="41">
        <f t="shared" si="518"/>
        <v>0</v>
      </c>
      <c r="P766" s="42">
        <v>16000</v>
      </c>
      <c r="Q766" s="44" t="s">
        <v>37</v>
      </c>
      <c r="R766" s="28" t="s">
        <v>56</v>
      </c>
      <c r="S766" s="48">
        <f t="shared" si="526"/>
        <v>96000</v>
      </c>
      <c r="T766" s="48">
        <f t="shared" si="517"/>
        <v>0</v>
      </c>
      <c r="V766" s="143">
        <v>76</v>
      </c>
      <c r="W766" s="28">
        <v>1201</v>
      </c>
      <c r="X766" s="105">
        <v>1.48</v>
      </c>
      <c r="Y766" s="105">
        <v>9.89</v>
      </c>
      <c r="Z766" s="73" t="s">
        <v>367</v>
      </c>
      <c r="AA766" s="28">
        <v>100</v>
      </c>
    </row>
    <row r="767" spans="1:27" x14ac:dyDescent="0.25">
      <c r="A767" s="4"/>
      <c r="B767" s="98" t="s">
        <v>614</v>
      </c>
      <c r="C767" s="75" t="s">
        <v>366</v>
      </c>
      <c r="D767" s="75" t="s">
        <v>357</v>
      </c>
      <c r="E767" s="28">
        <f t="shared" si="525"/>
        <v>92173</v>
      </c>
      <c r="F767" s="143" t="str">
        <f>INDEX(PV_Summary!$B$18:$B$118,MATCH($E767,PV_Summary!$A$18:$A$118,0))</f>
        <v>S</v>
      </c>
      <c r="G767" s="123">
        <v>32.545896999999997</v>
      </c>
      <c r="H767" s="61">
        <v>-117.03749999999999</v>
      </c>
      <c r="I767" s="80" t="s">
        <v>37</v>
      </c>
      <c r="J767" s="46">
        <f t="shared" si="522"/>
        <v>0.75</v>
      </c>
      <c r="K767" s="100"/>
      <c r="L767" s="44" t="str">
        <f t="shared" si="523"/>
        <v/>
      </c>
      <c r="M767" s="46">
        <f t="shared" si="524"/>
        <v>0.75</v>
      </c>
      <c r="N767" s="46"/>
      <c r="O767" s="41">
        <f t="shared" si="518"/>
        <v>0</v>
      </c>
      <c r="P767" s="42">
        <v>25000</v>
      </c>
      <c r="Q767" s="44" t="s">
        <v>37</v>
      </c>
      <c r="R767" s="28" t="s">
        <v>56</v>
      </c>
      <c r="S767" s="48">
        <f t="shared" si="526"/>
        <v>150000</v>
      </c>
      <c r="T767" s="48">
        <f t="shared" si="517"/>
        <v>0</v>
      </c>
      <c r="V767" s="143">
        <v>76</v>
      </c>
      <c r="W767" s="28">
        <v>1201</v>
      </c>
      <c r="X767" s="105">
        <v>1.48</v>
      </c>
      <c r="Y767" s="105">
        <v>9.89</v>
      </c>
      <c r="Z767" s="73" t="s">
        <v>367</v>
      </c>
      <c r="AA767" s="28">
        <v>100</v>
      </c>
    </row>
    <row r="768" spans="1:27" x14ac:dyDescent="0.25">
      <c r="A768" s="4"/>
      <c r="B768" s="98" t="s">
        <v>369</v>
      </c>
      <c r="C768" s="75" t="s">
        <v>366</v>
      </c>
      <c r="D768" s="75" t="s">
        <v>357</v>
      </c>
      <c r="E768" s="28">
        <f t="shared" si="525"/>
        <v>92173</v>
      </c>
      <c r="F768" s="143" t="str">
        <f>INDEX(PV_Summary!$B$18:$B$118,MATCH($E768,PV_Summary!$A$18:$A$118,0))</f>
        <v>S</v>
      </c>
      <c r="G768" s="123">
        <v>32.546028999999997</v>
      </c>
      <c r="H768" s="61">
        <v>-117.04030400000001</v>
      </c>
      <c r="I768" s="80" t="s">
        <v>3</v>
      </c>
      <c r="J768" s="46">
        <f t="shared" si="522"/>
        <v>0.75</v>
      </c>
      <c r="K768" s="100"/>
      <c r="L768" s="44" t="str">
        <f t="shared" si="523"/>
        <v/>
      </c>
      <c r="M768" s="46">
        <f t="shared" si="524"/>
        <v>0.75</v>
      </c>
      <c r="N768" s="46"/>
      <c r="O768" s="41">
        <f t="shared" si="518"/>
        <v>0</v>
      </c>
      <c r="P768" s="42">
        <v>75300</v>
      </c>
      <c r="Q768" s="44" t="s">
        <v>3</v>
      </c>
      <c r="R768" s="28" t="s">
        <v>57</v>
      </c>
      <c r="S768" s="48">
        <f t="shared" si="526"/>
        <v>376500</v>
      </c>
      <c r="T768" s="48">
        <f t="shared" si="517"/>
        <v>0</v>
      </c>
      <c r="V768" s="143">
        <v>76</v>
      </c>
      <c r="W768" s="28">
        <v>1201</v>
      </c>
      <c r="X768" s="105">
        <v>1.48</v>
      </c>
      <c r="Y768" s="105">
        <v>9.89</v>
      </c>
      <c r="Z768" s="73" t="s">
        <v>367</v>
      </c>
      <c r="AA768" s="28">
        <v>100</v>
      </c>
    </row>
    <row r="769" spans="1:27" x14ac:dyDescent="0.25">
      <c r="A769" s="4"/>
      <c r="B769" s="98" t="s">
        <v>370</v>
      </c>
      <c r="C769" s="75" t="s">
        <v>366</v>
      </c>
      <c r="D769" s="75" t="s">
        <v>357</v>
      </c>
      <c r="E769" s="28">
        <f t="shared" si="525"/>
        <v>92173</v>
      </c>
      <c r="F769" s="143" t="str">
        <f>INDEX(PV_Summary!$B$18:$B$118,MATCH($E769,PV_Summary!$A$18:$A$118,0))</f>
        <v>S</v>
      </c>
      <c r="G769" s="123">
        <v>32.54598</v>
      </c>
      <c r="H769" s="61">
        <v>-117.03868300000001</v>
      </c>
      <c r="I769" s="80" t="s">
        <v>3</v>
      </c>
      <c r="J769" s="46">
        <f t="shared" si="522"/>
        <v>0.75</v>
      </c>
      <c r="K769" s="100"/>
      <c r="L769" s="44" t="str">
        <f t="shared" si="523"/>
        <v/>
      </c>
      <c r="M769" s="46">
        <f t="shared" si="524"/>
        <v>0.75</v>
      </c>
      <c r="N769" s="46"/>
      <c r="O769" s="41">
        <f t="shared" si="518"/>
        <v>0</v>
      </c>
      <c r="P769" s="42">
        <v>71700</v>
      </c>
      <c r="Q769" s="44" t="s">
        <v>3</v>
      </c>
      <c r="R769" s="28" t="s">
        <v>57</v>
      </c>
      <c r="S769" s="48">
        <f t="shared" si="526"/>
        <v>358500</v>
      </c>
      <c r="T769" s="48">
        <f t="shared" si="517"/>
        <v>0</v>
      </c>
      <c r="V769" s="143">
        <v>76</v>
      </c>
      <c r="W769" s="28">
        <v>1201</v>
      </c>
      <c r="X769" s="105">
        <v>1.48</v>
      </c>
      <c r="Y769" s="105">
        <v>9.89</v>
      </c>
      <c r="Z769" s="73" t="s">
        <v>367</v>
      </c>
      <c r="AA769" s="28">
        <v>0</v>
      </c>
    </row>
    <row r="770" spans="1:27" x14ac:dyDescent="0.25">
      <c r="A770" s="4"/>
      <c r="B770" s="98" t="s">
        <v>371</v>
      </c>
      <c r="C770" s="75" t="s">
        <v>366</v>
      </c>
      <c r="D770" s="75" t="s">
        <v>357</v>
      </c>
      <c r="E770" s="28">
        <f t="shared" si="525"/>
        <v>92173</v>
      </c>
      <c r="F770" s="143" t="str">
        <f>INDEX(PV_Summary!$B$18:$B$118,MATCH($E770,PV_Summary!$A$18:$A$118,0))</f>
        <v>S</v>
      </c>
      <c r="G770" s="123">
        <v>32.545084000000003</v>
      </c>
      <c r="H770" s="61">
        <v>-117.03703400000001</v>
      </c>
      <c r="I770" s="80" t="s">
        <v>3</v>
      </c>
      <c r="J770" s="46">
        <f t="shared" si="522"/>
        <v>0.75</v>
      </c>
      <c r="K770" s="100"/>
      <c r="L770" s="44" t="str">
        <f t="shared" si="523"/>
        <v/>
      </c>
      <c r="M770" s="46">
        <f t="shared" si="524"/>
        <v>0.75</v>
      </c>
      <c r="N770" s="46"/>
      <c r="O770" s="41">
        <f t="shared" si="518"/>
        <v>0</v>
      </c>
      <c r="P770" s="42">
        <v>21600</v>
      </c>
      <c r="Q770" s="44" t="s">
        <v>3</v>
      </c>
      <c r="R770" s="28" t="s">
        <v>57</v>
      </c>
      <c r="S770" s="48">
        <f t="shared" si="526"/>
        <v>108000</v>
      </c>
      <c r="T770" s="48">
        <f t="shared" si="517"/>
        <v>0</v>
      </c>
      <c r="V770" s="143">
        <v>76</v>
      </c>
      <c r="W770" s="28">
        <v>1201</v>
      </c>
      <c r="X770" s="105">
        <v>1.48</v>
      </c>
      <c r="Y770" s="105">
        <v>9.89</v>
      </c>
      <c r="Z770" s="73" t="s">
        <v>367</v>
      </c>
      <c r="AA770" s="28">
        <v>0</v>
      </c>
    </row>
    <row r="771" spans="1:27" x14ac:dyDescent="0.25">
      <c r="A771"/>
      <c r="B771" s="28" t="s">
        <v>337</v>
      </c>
      <c r="C771" s="4" t="s">
        <v>338</v>
      </c>
      <c r="D771" s="4" t="s">
        <v>339</v>
      </c>
      <c r="E771" s="28">
        <f t="shared" si="525"/>
        <v>92173</v>
      </c>
      <c r="F771" s="143" t="str">
        <f>INDEX(PV_Summary!$B$18:$B$118,MATCH($E771,PV_Summary!$A$18:$A$118,0))</f>
        <v>S</v>
      </c>
      <c r="G771" s="123">
        <v>32.544376</v>
      </c>
      <c r="H771" s="61">
        <v>-117.040575</v>
      </c>
      <c r="I771" s="44" t="s">
        <v>62</v>
      </c>
      <c r="J771" s="46">
        <f t="shared" ca="1" si="522"/>
        <v>1.5</v>
      </c>
      <c r="K771" s="100"/>
      <c r="L771" s="44" t="str">
        <f t="shared" ca="1" si="523"/>
        <v>Total</v>
      </c>
      <c r="M771" s="46">
        <f t="shared" ca="1" si="524"/>
        <v>1.25</v>
      </c>
      <c r="N771" s="46"/>
      <c r="O771" s="41">
        <f t="shared" ca="1" si="518"/>
        <v>26</v>
      </c>
      <c r="Q771" s="80"/>
      <c r="S771" s="48">
        <f t="shared" ref="S771:S835" si="527">IF(ISNUMBER(FIND("Existing",$Q771)),0,IF($P771=0,0,INDEX(PV_W_Type_Rating_Tbl,MATCH($Q771,PV_Type_List,0),MATCH($R771,Rating_List,0)+4*DC_AC_Num)*$P771))</f>
        <v>0</v>
      </c>
      <c r="T771" s="48">
        <f t="shared" ca="1" si="517"/>
        <v>6275300</v>
      </c>
      <c r="V771" s="143">
        <v>76</v>
      </c>
      <c r="W771" s="28">
        <v>1201</v>
      </c>
      <c r="X771" s="105">
        <v>1.48</v>
      </c>
      <c r="Y771" s="105">
        <v>9.89</v>
      </c>
      <c r="Z771" s="73" t="s">
        <v>367</v>
      </c>
      <c r="AA771" s="28"/>
    </row>
    <row r="772" spans="1:27" x14ac:dyDescent="0.25">
      <c r="A772"/>
      <c r="B772" s="98" t="s">
        <v>340</v>
      </c>
      <c r="C772" s="75" t="s">
        <v>338</v>
      </c>
      <c r="D772" s="75" t="s">
        <v>357</v>
      </c>
      <c r="E772" s="28">
        <f t="shared" si="525"/>
        <v>92173</v>
      </c>
      <c r="F772" s="143" t="str">
        <f>INDEX(PV_Summary!$B$18:$B$118,MATCH($E772,PV_Summary!$A$18:$A$118,0))</f>
        <v>S</v>
      </c>
      <c r="G772" s="123">
        <v>32.543433</v>
      </c>
      <c r="H772" s="61">
        <v>-117.046155</v>
      </c>
      <c r="I772" s="44" t="s">
        <v>37</v>
      </c>
      <c r="J772" s="46">
        <f t="shared" ref="J772:J787" si="528">IF(O772&gt;1,Sym_Scl_Aggr_Parent,IF(O772&lt;1,Sym_Scl_Aggr_Child,Sym_Scl_Normal))</f>
        <v>0.75</v>
      </c>
      <c r="K772" s="100"/>
      <c r="L772" s="44" t="str">
        <f t="shared" si="523"/>
        <v/>
      </c>
      <c r="M772" s="46">
        <f t="shared" ref="M772:M787" si="529">IF(O772&gt;1,Label_Scl_Aggr_Parent,IF(O772&lt;1,Label_Scl_Aggr_Child,Label_Scl_Normal))</f>
        <v>0.75</v>
      </c>
      <c r="N772" s="46"/>
      <c r="O772" s="41">
        <f t="shared" si="518"/>
        <v>0</v>
      </c>
      <c r="P772" s="42">
        <v>83000</v>
      </c>
      <c r="Q772" s="44" t="s">
        <v>37</v>
      </c>
      <c r="R772" s="28" t="s">
        <v>56</v>
      </c>
      <c r="S772" s="48">
        <f t="shared" si="527"/>
        <v>498000</v>
      </c>
      <c r="T772" s="48">
        <f t="shared" si="517"/>
        <v>0</v>
      </c>
      <c r="V772" s="143">
        <v>76</v>
      </c>
      <c r="W772" s="28">
        <v>1201</v>
      </c>
      <c r="X772" s="105">
        <v>1.48</v>
      </c>
      <c r="Y772" s="105">
        <v>9.89</v>
      </c>
      <c r="Z772" s="73" t="s">
        <v>367</v>
      </c>
      <c r="AA772" s="28">
        <v>0</v>
      </c>
    </row>
    <row r="773" spans="1:27" x14ac:dyDescent="0.25">
      <c r="A773"/>
      <c r="B773" s="98" t="s">
        <v>341</v>
      </c>
      <c r="C773" s="75" t="s">
        <v>338</v>
      </c>
      <c r="D773" s="75" t="s">
        <v>357</v>
      </c>
      <c r="E773" s="28">
        <f t="shared" si="525"/>
        <v>92173</v>
      </c>
      <c r="F773" s="143" t="str">
        <f>INDEX(PV_Summary!$B$18:$B$118,MATCH($E773,PV_Summary!$A$18:$A$118,0))</f>
        <v>S</v>
      </c>
      <c r="G773" s="123">
        <v>32.543568999999998</v>
      </c>
      <c r="H773" s="61">
        <v>-117.044377</v>
      </c>
      <c r="I773" s="44" t="s">
        <v>37</v>
      </c>
      <c r="J773" s="46">
        <f t="shared" si="528"/>
        <v>0.75</v>
      </c>
      <c r="K773" s="100"/>
      <c r="L773" s="44" t="str">
        <f t="shared" si="523"/>
        <v/>
      </c>
      <c r="M773" s="46">
        <f t="shared" si="529"/>
        <v>0.75</v>
      </c>
      <c r="N773" s="46"/>
      <c r="O773" s="41">
        <f t="shared" si="518"/>
        <v>0</v>
      </c>
      <c r="P773" s="42">
        <v>43000</v>
      </c>
      <c r="Q773" s="97" t="s">
        <v>37</v>
      </c>
      <c r="R773" s="28" t="s">
        <v>56</v>
      </c>
      <c r="S773" s="48">
        <f t="shared" si="527"/>
        <v>258000</v>
      </c>
      <c r="T773" s="48">
        <f t="shared" si="517"/>
        <v>0</v>
      </c>
      <c r="V773" s="143">
        <v>76</v>
      </c>
      <c r="W773" s="28">
        <v>1201</v>
      </c>
      <c r="X773" s="105">
        <v>1.48</v>
      </c>
      <c r="Y773" s="105">
        <v>9.89</v>
      </c>
      <c r="Z773" s="73" t="s">
        <v>367</v>
      </c>
      <c r="AA773" s="28">
        <v>0</v>
      </c>
    </row>
    <row r="774" spans="1:27" x14ac:dyDescent="0.25">
      <c r="A774"/>
      <c r="B774" s="98" t="s">
        <v>342</v>
      </c>
      <c r="C774" s="75" t="s">
        <v>338</v>
      </c>
      <c r="D774" s="75" t="s">
        <v>357</v>
      </c>
      <c r="E774" s="28">
        <f t="shared" si="525"/>
        <v>92173</v>
      </c>
      <c r="F774" s="143" t="str">
        <f>INDEX(PV_Summary!$B$18:$B$118,MATCH($E774,PV_Summary!$A$18:$A$118,0))</f>
        <v>S</v>
      </c>
      <c r="G774" s="123">
        <v>32.544220000000003</v>
      </c>
      <c r="H774" s="61">
        <v>-117.043436</v>
      </c>
      <c r="I774" s="44" t="s">
        <v>37</v>
      </c>
      <c r="J774" s="46">
        <f t="shared" si="528"/>
        <v>0.75</v>
      </c>
      <c r="K774" s="100"/>
      <c r="L774" s="44" t="str">
        <f t="shared" si="523"/>
        <v/>
      </c>
      <c r="M774" s="46">
        <f t="shared" si="529"/>
        <v>0.75</v>
      </c>
      <c r="N774" s="46"/>
      <c r="O774" s="41">
        <f t="shared" si="518"/>
        <v>0</v>
      </c>
      <c r="P774" s="42">
        <v>32000</v>
      </c>
      <c r="Q774" s="97" t="s">
        <v>37</v>
      </c>
      <c r="R774" s="28" t="s">
        <v>56</v>
      </c>
      <c r="S774" s="48">
        <f t="shared" si="527"/>
        <v>192000</v>
      </c>
      <c r="T774" s="48">
        <f t="shared" ref="T774:T805" si="530">SUMIF($C:$C,$C774,$S:$S)*IF($O774&gt;=1,1,0)</f>
        <v>0</v>
      </c>
      <c r="V774" s="143">
        <v>76</v>
      </c>
      <c r="W774" s="28">
        <v>1201</v>
      </c>
      <c r="X774" s="105">
        <v>1.48</v>
      </c>
      <c r="Y774" s="105">
        <v>9.89</v>
      </c>
      <c r="Z774" s="73" t="s">
        <v>367</v>
      </c>
      <c r="AA774" s="28">
        <v>100</v>
      </c>
    </row>
    <row r="775" spans="1:27" x14ac:dyDescent="0.25">
      <c r="A775"/>
      <c r="B775" s="98" t="s">
        <v>343</v>
      </c>
      <c r="C775" s="75" t="s">
        <v>338</v>
      </c>
      <c r="D775" s="75" t="s">
        <v>357</v>
      </c>
      <c r="E775" s="28">
        <f t="shared" si="525"/>
        <v>92173</v>
      </c>
      <c r="F775" s="143" t="str">
        <f>INDEX(PV_Summary!$B$18:$B$118,MATCH($E775,PV_Summary!$A$18:$A$118,0))</f>
        <v>S</v>
      </c>
      <c r="G775" s="123">
        <v>32.543700999999999</v>
      </c>
      <c r="H775" s="61">
        <v>-117.043255</v>
      </c>
      <c r="I775" s="44" t="s">
        <v>37</v>
      </c>
      <c r="J775" s="46">
        <f t="shared" si="528"/>
        <v>0.75</v>
      </c>
      <c r="K775" s="100"/>
      <c r="L775" s="44" t="str">
        <f t="shared" si="523"/>
        <v/>
      </c>
      <c r="M775" s="46">
        <f t="shared" si="529"/>
        <v>0.75</v>
      </c>
      <c r="N775" s="46"/>
      <c r="O775" s="41">
        <f t="shared" si="518"/>
        <v>0</v>
      </c>
      <c r="P775" s="42">
        <v>75000</v>
      </c>
      <c r="Q775" s="97" t="s">
        <v>37</v>
      </c>
      <c r="R775" s="28" t="s">
        <v>56</v>
      </c>
      <c r="S775" s="48">
        <f t="shared" si="527"/>
        <v>450000</v>
      </c>
      <c r="T775" s="48">
        <f t="shared" si="530"/>
        <v>0</v>
      </c>
      <c r="V775" s="143">
        <v>76</v>
      </c>
      <c r="W775" s="28">
        <v>1201</v>
      </c>
      <c r="X775" s="105">
        <v>1.48</v>
      </c>
      <c r="Y775" s="105">
        <v>9.89</v>
      </c>
      <c r="Z775" s="73" t="s">
        <v>367</v>
      </c>
      <c r="AA775" s="28">
        <v>100</v>
      </c>
    </row>
    <row r="776" spans="1:27" x14ac:dyDescent="0.25">
      <c r="A776"/>
      <c r="B776" s="98" t="s">
        <v>344</v>
      </c>
      <c r="C776" s="75" t="s">
        <v>338</v>
      </c>
      <c r="D776" s="75" t="s">
        <v>357</v>
      </c>
      <c r="E776" s="28">
        <f t="shared" si="525"/>
        <v>92173</v>
      </c>
      <c r="F776" s="143" t="str">
        <f>INDEX(PV_Summary!$B$18:$B$118,MATCH($E776,PV_Summary!$A$18:$A$118,0))</f>
        <v>S</v>
      </c>
      <c r="G776" s="123">
        <v>32.543170000000003</v>
      </c>
      <c r="H776" s="61">
        <v>-117.04326500000001</v>
      </c>
      <c r="I776" s="44" t="s">
        <v>37</v>
      </c>
      <c r="J776" s="46">
        <f t="shared" si="528"/>
        <v>0.75</v>
      </c>
      <c r="K776" s="100"/>
      <c r="L776" s="44" t="str">
        <f t="shared" si="523"/>
        <v/>
      </c>
      <c r="M776" s="46">
        <f t="shared" si="529"/>
        <v>0.75</v>
      </c>
      <c r="N776" s="46"/>
      <c r="O776" s="41">
        <f t="shared" si="518"/>
        <v>0</v>
      </c>
      <c r="P776" s="42">
        <v>18000</v>
      </c>
      <c r="Q776" s="97" t="s">
        <v>37</v>
      </c>
      <c r="R776" s="28" t="s">
        <v>56</v>
      </c>
      <c r="S776" s="48">
        <f t="shared" si="527"/>
        <v>108000</v>
      </c>
      <c r="T776" s="48">
        <f t="shared" si="530"/>
        <v>0</v>
      </c>
      <c r="V776" s="143">
        <v>76</v>
      </c>
      <c r="W776" s="28">
        <v>1201</v>
      </c>
      <c r="X776" s="105">
        <v>1.48</v>
      </c>
      <c r="Y776" s="105">
        <v>9.89</v>
      </c>
      <c r="Z776" s="73" t="s">
        <v>367</v>
      </c>
      <c r="AA776" s="28">
        <v>0</v>
      </c>
    </row>
    <row r="777" spans="1:27" x14ac:dyDescent="0.25">
      <c r="A777"/>
      <c r="B777" s="98" t="s">
        <v>345</v>
      </c>
      <c r="C777" s="75" t="s">
        <v>338</v>
      </c>
      <c r="D777" s="75" t="s">
        <v>357</v>
      </c>
      <c r="E777" s="28">
        <f t="shared" si="525"/>
        <v>92173</v>
      </c>
      <c r="F777" s="143" t="str">
        <f>INDEX(PV_Summary!$B$18:$B$118,MATCH($E777,PV_Summary!$A$18:$A$118,0))</f>
        <v>S</v>
      </c>
      <c r="G777" s="123">
        <v>32.543166999999997</v>
      </c>
      <c r="H777" s="61">
        <v>-117.042513</v>
      </c>
      <c r="I777" s="44" t="s">
        <v>37</v>
      </c>
      <c r="J777" s="46">
        <f t="shared" si="528"/>
        <v>0.75</v>
      </c>
      <c r="K777" s="100"/>
      <c r="L777" s="44" t="str">
        <f t="shared" si="523"/>
        <v/>
      </c>
      <c r="M777" s="46">
        <f t="shared" si="529"/>
        <v>0.75</v>
      </c>
      <c r="N777" s="46"/>
      <c r="O777" s="41">
        <f t="shared" si="518"/>
        <v>0</v>
      </c>
      <c r="P777" s="42">
        <v>12900</v>
      </c>
      <c r="Q777" s="97" t="s">
        <v>37</v>
      </c>
      <c r="R777" s="28" t="s">
        <v>56</v>
      </c>
      <c r="S777" s="48">
        <f t="shared" si="527"/>
        <v>77400</v>
      </c>
      <c r="T777" s="48">
        <f t="shared" si="530"/>
        <v>0</v>
      </c>
      <c r="V777" s="143">
        <v>76</v>
      </c>
      <c r="W777" s="28">
        <v>1201</v>
      </c>
      <c r="X777" s="105">
        <v>1.48</v>
      </c>
      <c r="Y777" s="105">
        <v>9.89</v>
      </c>
      <c r="Z777" s="73" t="s">
        <v>367</v>
      </c>
      <c r="AA777" s="28">
        <v>0</v>
      </c>
    </row>
    <row r="778" spans="1:27" x14ac:dyDescent="0.25">
      <c r="A778"/>
      <c r="B778" s="98" t="s">
        <v>346</v>
      </c>
      <c r="C778" s="75" t="s">
        <v>338</v>
      </c>
      <c r="D778" s="75" t="s">
        <v>357</v>
      </c>
      <c r="E778" s="28">
        <f t="shared" si="525"/>
        <v>92173</v>
      </c>
      <c r="F778" s="143" t="str">
        <f>INDEX(PV_Summary!$B$18:$B$118,MATCH($E778,PV_Summary!$A$18:$A$118,0))</f>
        <v>S</v>
      </c>
      <c r="G778" s="123">
        <v>32.543787000000002</v>
      </c>
      <c r="H778" s="61">
        <v>-117.041996</v>
      </c>
      <c r="I778" s="44" t="s">
        <v>37</v>
      </c>
      <c r="J778" s="46">
        <f t="shared" si="528"/>
        <v>0.75</v>
      </c>
      <c r="K778" s="100"/>
      <c r="L778" s="44" t="str">
        <f t="shared" si="523"/>
        <v/>
      </c>
      <c r="M778" s="46">
        <f t="shared" si="529"/>
        <v>0.75</v>
      </c>
      <c r="N778" s="46"/>
      <c r="O778" s="41">
        <f t="shared" si="518"/>
        <v>0</v>
      </c>
      <c r="P778" s="42">
        <v>62000</v>
      </c>
      <c r="Q778" s="97" t="s">
        <v>37</v>
      </c>
      <c r="R778" s="28" t="s">
        <v>56</v>
      </c>
      <c r="S778" s="48">
        <f t="shared" si="527"/>
        <v>372000</v>
      </c>
      <c r="T778" s="48">
        <f t="shared" si="530"/>
        <v>0</v>
      </c>
      <c r="V778" s="143">
        <v>76</v>
      </c>
      <c r="W778" s="28">
        <v>1201</v>
      </c>
      <c r="X778" s="105">
        <v>1.48</v>
      </c>
      <c r="Y778" s="105">
        <v>9.89</v>
      </c>
      <c r="Z778" s="73" t="s">
        <v>367</v>
      </c>
      <c r="AA778" s="28">
        <v>0</v>
      </c>
    </row>
    <row r="779" spans="1:27" x14ac:dyDescent="0.25">
      <c r="A779"/>
      <c r="B779" s="98" t="s">
        <v>347</v>
      </c>
      <c r="C779" s="75" t="s">
        <v>338</v>
      </c>
      <c r="D779" s="75" t="s">
        <v>357</v>
      </c>
      <c r="E779" s="28">
        <f t="shared" si="525"/>
        <v>92173</v>
      </c>
      <c r="F779" s="143" t="str">
        <f>INDEX(PV_Summary!$B$18:$B$118,MATCH($E779,PV_Summary!$A$18:$A$118,0))</f>
        <v>S</v>
      </c>
      <c r="G779" s="123">
        <v>32.543160999999998</v>
      </c>
      <c r="H779" s="61">
        <v>-117.04146900000001</v>
      </c>
      <c r="I779" s="44" t="s">
        <v>37</v>
      </c>
      <c r="J779" s="46">
        <f t="shared" si="528"/>
        <v>0.75</v>
      </c>
      <c r="K779" s="100"/>
      <c r="L779" s="44" t="str">
        <f t="shared" si="523"/>
        <v/>
      </c>
      <c r="M779" s="46">
        <f t="shared" si="529"/>
        <v>0.75</v>
      </c>
      <c r="N779" s="46"/>
      <c r="O779" s="41">
        <f t="shared" si="518"/>
        <v>0</v>
      </c>
      <c r="P779" s="42">
        <v>29000</v>
      </c>
      <c r="Q779" s="97" t="s">
        <v>37</v>
      </c>
      <c r="R779" s="28" t="s">
        <v>56</v>
      </c>
      <c r="S779" s="48">
        <f t="shared" si="527"/>
        <v>174000</v>
      </c>
      <c r="T779" s="48">
        <f t="shared" si="530"/>
        <v>0</v>
      </c>
      <c r="V779" s="143">
        <v>76</v>
      </c>
      <c r="W779" s="28">
        <v>1201</v>
      </c>
      <c r="X779" s="105">
        <v>1.48</v>
      </c>
      <c r="Y779" s="105">
        <v>9.89</v>
      </c>
      <c r="Z779" s="73" t="s">
        <v>367</v>
      </c>
      <c r="AA779" s="28">
        <v>0</v>
      </c>
    </row>
    <row r="780" spans="1:27" x14ac:dyDescent="0.25">
      <c r="A780"/>
      <c r="B780" s="98" t="s">
        <v>348</v>
      </c>
      <c r="C780" s="75" t="s">
        <v>338</v>
      </c>
      <c r="D780" s="75" t="s">
        <v>357</v>
      </c>
      <c r="E780" s="28">
        <f t="shared" si="525"/>
        <v>92173</v>
      </c>
      <c r="F780" s="143" t="str">
        <f>INDEX(PV_Summary!$B$18:$B$118,MATCH($E780,PV_Summary!$A$18:$A$118,0))</f>
        <v>S</v>
      </c>
      <c r="G780" s="123">
        <v>32.543785</v>
      </c>
      <c r="H780" s="61">
        <v>-117.04082099999999</v>
      </c>
      <c r="I780" s="44" t="s">
        <v>37</v>
      </c>
      <c r="J780" s="46">
        <f t="shared" si="528"/>
        <v>0.75</v>
      </c>
      <c r="K780" s="100"/>
      <c r="L780" s="44" t="str">
        <f t="shared" si="523"/>
        <v/>
      </c>
      <c r="M780" s="46">
        <f t="shared" si="529"/>
        <v>0.75</v>
      </c>
      <c r="N780" s="46"/>
      <c r="O780" s="41">
        <f t="shared" si="518"/>
        <v>0</v>
      </c>
      <c r="P780" s="42">
        <v>66500</v>
      </c>
      <c r="Q780" s="97" t="s">
        <v>37</v>
      </c>
      <c r="R780" s="28" t="s">
        <v>56</v>
      </c>
      <c r="S780" s="48">
        <f t="shared" si="527"/>
        <v>399000</v>
      </c>
      <c r="T780" s="48">
        <f t="shared" si="530"/>
        <v>0</v>
      </c>
      <c r="V780" s="143">
        <v>76</v>
      </c>
      <c r="W780" s="28">
        <v>1201</v>
      </c>
      <c r="X780" s="105">
        <v>1.48</v>
      </c>
      <c r="Y780" s="105">
        <v>9.89</v>
      </c>
      <c r="Z780" s="73" t="s">
        <v>367</v>
      </c>
      <c r="AA780" s="79">
        <v>0</v>
      </c>
    </row>
    <row r="781" spans="1:27" x14ac:dyDescent="0.25">
      <c r="A781"/>
      <c r="B781" s="98" t="s">
        <v>349</v>
      </c>
      <c r="C781" s="75" t="s">
        <v>338</v>
      </c>
      <c r="D781" s="75" t="s">
        <v>357</v>
      </c>
      <c r="E781" s="28">
        <f t="shared" si="525"/>
        <v>92173</v>
      </c>
      <c r="F781" s="143" t="str">
        <f>INDEX(PV_Summary!$B$18:$B$118,MATCH($E781,PV_Summary!$A$18:$A$118,0))</f>
        <v>S</v>
      </c>
      <c r="G781" s="123">
        <v>32.54318</v>
      </c>
      <c r="H781" s="61">
        <v>-117.03983599999999</v>
      </c>
      <c r="I781" s="44" t="s">
        <v>37</v>
      </c>
      <c r="J781" s="46">
        <f t="shared" si="528"/>
        <v>0.75</v>
      </c>
      <c r="K781" s="100"/>
      <c r="L781" s="44" t="str">
        <f t="shared" si="523"/>
        <v/>
      </c>
      <c r="M781" s="46">
        <f t="shared" si="529"/>
        <v>0.75</v>
      </c>
      <c r="N781" s="46"/>
      <c r="O781" s="41">
        <f t="shared" si="518"/>
        <v>0</v>
      </c>
      <c r="P781" s="42">
        <v>35500</v>
      </c>
      <c r="Q781" s="97" t="s">
        <v>37</v>
      </c>
      <c r="R781" s="28" t="s">
        <v>56</v>
      </c>
      <c r="S781" s="48">
        <f t="shared" si="527"/>
        <v>213000</v>
      </c>
      <c r="T781" s="48">
        <f t="shared" si="530"/>
        <v>0</v>
      </c>
      <c r="V781" s="143">
        <v>76</v>
      </c>
      <c r="W781" s="28">
        <v>1201</v>
      </c>
      <c r="X781" s="105">
        <v>1.48</v>
      </c>
      <c r="Y781" s="105">
        <v>9.89</v>
      </c>
      <c r="Z781" s="73" t="s">
        <v>367</v>
      </c>
      <c r="AA781" s="79">
        <v>0</v>
      </c>
    </row>
    <row r="782" spans="1:27" x14ac:dyDescent="0.25">
      <c r="A782"/>
      <c r="B782" s="98" t="s">
        <v>350</v>
      </c>
      <c r="C782" s="75" t="s">
        <v>338</v>
      </c>
      <c r="D782" s="75" t="s">
        <v>357</v>
      </c>
      <c r="E782" s="28">
        <f t="shared" si="525"/>
        <v>92173</v>
      </c>
      <c r="F782" s="143" t="str">
        <f>INDEX(PV_Summary!$B$18:$B$118,MATCH($E782,PV_Summary!$A$18:$A$118,0))</f>
        <v>S</v>
      </c>
      <c r="G782" s="123">
        <v>32.543790999999999</v>
      </c>
      <c r="H782" s="61">
        <v>-117.039562</v>
      </c>
      <c r="I782" s="44" t="s">
        <v>37</v>
      </c>
      <c r="J782" s="46">
        <f t="shared" si="528"/>
        <v>0.75</v>
      </c>
      <c r="K782" s="100"/>
      <c r="L782" s="44" t="str">
        <f t="shared" si="523"/>
        <v/>
      </c>
      <c r="M782" s="46">
        <f t="shared" si="529"/>
        <v>0.75</v>
      </c>
      <c r="N782" s="46"/>
      <c r="O782" s="41">
        <f t="shared" si="518"/>
        <v>0</v>
      </c>
      <c r="P782" s="42">
        <v>59500</v>
      </c>
      <c r="Q782" s="97" t="s">
        <v>37</v>
      </c>
      <c r="R782" s="28" t="s">
        <v>56</v>
      </c>
      <c r="S782" s="48">
        <f t="shared" si="527"/>
        <v>357000</v>
      </c>
      <c r="T782" s="48">
        <f t="shared" si="530"/>
        <v>0</v>
      </c>
      <c r="V782" s="143">
        <v>76</v>
      </c>
      <c r="W782" s="28">
        <v>1201</v>
      </c>
      <c r="X782" s="105">
        <v>1.48</v>
      </c>
      <c r="Y782" s="105">
        <v>9.89</v>
      </c>
      <c r="Z782" s="73" t="s">
        <v>367</v>
      </c>
      <c r="AA782" s="79">
        <v>0</v>
      </c>
    </row>
    <row r="783" spans="1:27" x14ac:dyDescent="0.25">
      <c r="A783"/>
      <c r="B783" s="98" t="s">
        <v>351</v>
      </c>
      <c r="C783" s="75" t="s">
        <v>338</v>
      </c>
      <c r="D783" s="75" t="s">
        <v>357</v>
      </c>
      <c r="E783" s="28">
        <f t="shared" si="525"/>
        <v>92173</v>
      </c>
      <c r="F783" s="143" t="str">
        <f>INDEX(PV_Summary!$B$18:$B$118,MATCH($E783,PV_Summary!$A$18:$A$118,0))</f>
        <v>S</v>
      </c>
      <c r="G783" s="123">
        <v>32.544043000000002</v>
      </c>
      <c r="H783" s="61">
        <v>-117.03849700000001</v>
      </c>
      <c r="I783" s="44" t="s">
        <v>37</v>
      </c>
      <c r="J783" s="46">
        <f t="shared" si="528"/>
        <v>0.75</v>
      </c>
      <c r="K783" s="100"/>
      <c r="L783" s="44" t="str">
        <f t="shared" si="523"/>
        <v/>
      </c>
      <c r="M783" s="46">
        <f t="shared" si="529"/>
        <v>0.75</v>
      </c>
      <c r="N783" s="46"/>
      <c r="O783" s="41">
        <f t="shared" si="518"/>
        <v>0</v>
      </c>
      <c r="P783" s="42">
        <v>18000</v>
      </c>
      <c r="Q783" s="97" t="s">
        <v>37</v>
      </c>
      <c r="R783" s="28" t="s">
        <v>56</v>
      </c>
      <c r="S783" s="48">
        <f t="shared" si="527"/>
        <v>108000</v>
      </c>
      <c r="T783" s="48">
        <f t="shared" si="530"/>
        <v>0</v>
      </c>
      <c r="V783" s="143">
        <v>76</v>
      </c>
      <c r="W783" s="28">
        <v>1201</v>
      </c>
      <c r="X783" s="105">
        <v>1.48</v>
      </c>
      <c r="Y783" s="105">
        <v>9.89</v>
      </c>
      <c r="Z783" s="73" t="s">
        <v>367</v>
      </c>
      <c r="AA783" s="79">
        <v>0</v>
      </c>
    </row>
    <row r="784" spans="1:27" x14ac:dyDescent="0.25">
      <c r="A784"/>
      <c r="B784" s="98" t="s">
        <v>352</v>
      </c>
      <c r="C784" s="78" t="s">
        <v>338</v>
      </c>
      <c r="D784" s="75" t="s">
        <v>357</v>
      </c>
      <c r="E784" s="28">
        <f t="shared" si="525"/>
        <v>92173</v>
      </c>
      <c r="F784" s="143" t="str">
        <f>INDEX(PV_Summary!$B$18:$B$118,MATCH($E784,PV_Summary!$A$18:$A$118,0))</f>
        <v>S</v>
      </c>
      <c r="G784" s="123">
        <v>32.543956000000001</v>
      </c>
      <c r="H784" s="61">
        <v>-117.03748899999999</v>
      </c>
      <c r="I784" s="44" t="s">
        <v>37</v>
      </c>
      <c r="J784" s="46">
        <f t="shared" si="528"/>
        <v>0.75</v>
      </c>
      <c r="K784" s="100"/>
      <c r="L784" s="44" t="str">
        <f t="shared" si="523"/>
        <v/>
      </c>
      <c r="M784" s="46">
        <f t="shared" si="529"/>
        <v>0.75</v>
      </c>
      <c r="N784" s="46"/>
      <c r="O784" s="41">
        <f t="shared" si="518"/>
        <v>0</v>
      </c>
      <c r="P784" s="42">
        <v>18500</v>
      </c>
      <c r="Q784" s="97" t="s">
        <v>37</v>
      </c>
      <c r="R784" s="28" t="s">
        <v>56</v>
      </c>
      <c r="S784" s="48">
        <f t="shared" si="527"/>
        <v>111000</v>
      </c>
      <c r="T784" s="48">
        <f t="shared" si="530"/>
        <v>0</v>
      </c>
      <c r="V784" s="143">
        <v>76</v>
      </c>
      <c r="W784" s="28">
        <v>1201</v>
      </c>
      <c r="X784" s="105">
        <v>1.48</v>
      </c>
      <c r="Y784" s="105">
        <v>9.89</v>
      </c>
      <c r="Z784" s="73" t="s">
        <v>367</v>
      </c>
      <c r="AA784" s="28">
        <v>0</v>
      </c>
    </row>
    <row r="785" spans="1:27" x14ac:dyDescent="0.25">
      <c r="A785"/>
      <c r="B785" s="98" t="s">
        <v>353</v>
      </c>
      <c r="C785" s="75" t="s">
        <v>338</v>
      </c>
      <c r="D785" s="75" t="s">
        <v>357</v>
      </c>
      <c r="E785" s="28">
        <f t="shared" si="525"/>
        <v>92173</v>
      </c>
      <c r="F785" s="143" t="str">
        <f>INDEX(PV_Summary!$B$18:$B$118,MATCH($E785,PV_Summary!$A$18:$A$118,0))</f>
        <v>S</v>
      </c>
      <c r="G785" s="123">
        <v>32.543602999999997</v>
      </c>
      <c r="H785" s="61">
        <v>-117.037969</v>
      </c>
      <c r="I785" s="44" t="s">
        <v>37</v>
      </c>
      <c r="J785" s="46">
        <f t="shared" si="528"/>
        <v>0.75</v>
      </c>
      <c r="K785" s="100"/>
      <c r="L785" s="44" t="str">
        <f t="shared" si="523"/>
        <v/>
      </c>
      <c r="M785" s="46">
        <f t="shared" si="529"/>
        <v>0.75</v>
      </c>
      <c r="N785" s="46"/>
      <c r="O785" s="41">
        <f t="shared" si="518"/>
        <v>0</v>
      </c>
      <c r="P785" s="42">
        <v>29000</v>
      </c>
      <c r="Q785" s="97" t="s">
        <v>37</v>
      </c>
      <c r="R785" s="28" t="s">
        <v>56</v>
      </c>
      <c r="S785" s="48">
        <f t="shared" si="527"/>
        <v>174000</v>
      </c>
      <c r="T785" s="48">
        <f t="shared" si="530"/>
        <v>0</v>
      </c>
      <c r="V785" s="143">
        <v>76</v>
      </c>
      <c r="W785" s="28">
        <v>1201</v>
      </c>
      <c r="X785" s="105">
        <v>1.48</v>
      </c>
      <c r="Y785" s="105">
        <v>9.89</v>
      </c>
      <c r="Z785" s="73" t="s">
        <v>367</v>
      </c>
      <c r="AA785" s="28">
        <v>100</v>
      </c>
    </row>
    <row r="786" spans="1:27" x14ac:dyDescent="0.25">
      <c r="A786"/>
      <c r="B786" s="98" t="s">
        <v>354</v>
      </c>
      <c r="C786" s="75" t="s">
        <v>338</v>
      </c>
      <c r="D786" s="75" t="s">
        <v>357</v>
      </c>
      <c r="E786" s="28">
        <f t="shared" si="525"/>
        <v>92173</v>
      </c>
      <c r="F786" s="143" t="str">
        <f>INDEX(PV_Summary!$B$18:$B$118,MATCH($E786,PV_Summary!$A$18:$A$118,0))</f>
        <v>S</v>
      </c>
      <c r="G786" s="123">
        <v>32.543190000000003</v>
      </c>
      <c r="H786" s="61">
        <v>-117.037977</v>
      </c>
      <c r="I786" s="44" t="s">
        <v>37</v>
      </c>
      <c r="J786" s="46">
        <f t="shared" si="528"/>
        <v>0.75</v>
      </c>
      <c r="K786" s="100"/>
      <c r="L786" s="44" t="str">
        <f t="shared" si="523"/>
        <v/>
      </c>
      <c r="M786" s="46">
        <f t="shared" si="529"/>
        <v>0.75</v>
      </c>
      <c r="N786" s="46"/>
      <c r="O786" s="41">
        <f t="shared" si="518"/>
        <v>0</v>
      </c>
      <c r="P786" s="42">
        <v>42000</v>
      </c>
      <c r="Q786" s="97" t="s">
        <v>37</v>
      </c>
      <c r="R786" s="28" t="s">
        <v>56</v>
      </c>
      <c r="S786" s="48">
        <f t="shared" si="527"/>
        <v>252000</v>
      </c>
      <c r="T786" s="48">
        <f t="shared" si="530"/>
        <v>0</v>
      </c>
      <c r="V786" s="143">
        <v>76</v>
      </c>
      <c r="W786" s="28">
        <v>1201</v>
      </c>
      <c r="X786" s="105">
        <v>1.48</v>
      </c>
      <c r="Y786" s="105">
        <v>9.89</v>
      </c>
      <c r="Z786" s="73" t="s">
        <v>367</v>
      </c>
      <c r="AA786" s="79">
        <v>0</v>
      </c>
    </row>
    <row r="787" spans="1:27" x14ac:dyDescent="0.25">
      <c r="A787"/>
      <c r="B787" s="98" t="s">
        <v>355</v>
      </c>
      <c r="C787" s="75" t="s">
        <v>338</v>
      </c>
      <c r="D787" s="75" t="s">
        <v>357</v>
      </c>
      <c r="E787" s="28">
        <f t="shared" si="525"/>
        <v>92173</v>
      </c>
      <c r="F787" s="143" t="str">
        <f>INDEX(PV_Summary!$B$18:$B$118,MATCH($E787,PV_Summary!$A$18:$A$118,0))</f>
        <v>S</v>
      </c>
      <c r="G787" s="123">
        <v>32.542762000000003</v>
      </c>
      <c r="H787" s="61">
        <v>-117.03787199999999</v>
      </c>
      <c r="I787" s="44" t="s">
        <v>37</v>
      </c>
      <c r="J787" s="46">
        <f t="shared" si="528"/>
        <v>0.75</v>
      </c>
      <c r="K787" s="100"/>
      <c r="L787" s="44" t="str">
        <f t="shared" si="523"/>
        <v/>
      </c>
      <c r="M787" s="46">
        <f t="shared" si="529"/>
        <v>0.75</v>
      </c>
      <c r="N787" s="46"/>
      <c r="O787" s="41">
        <f t="shared" si="518"/>
        <v>0</v>
      </c>
      <c r="P787" s="42">
        <v>22400</v>
      </c>
      <c r="Q787" s="97" t="s">
        <v>37</v>
      </c>
      <c r="R787" s="28" t="s">
        <v>56</v>
      </c>
      <c r="S787" s="48">
        <f t="shared" si="527"/>
        <v>134400</v>
      </c>
      <c r="T787" s="48">
        <f t="shared" si="530"/>
        <v>0</v>
      </c>
      <c r="V787" s="143">
        <v>76</v>
      </c>
      <c r="W787" s="28">
        <v>1201</v>
      </c>
      <c r="X787" s="105">
        <v>1.48</v>
      </c>
      <c r="Y787" s="105">
        <v>9.89</v>
      </c>
      <c r="Z787" s="73" t="s">
        <v>367</v>
      </c>
      <c r="AA787" s="79">
        <v>200</v>
      </c>
    </row>
    <row r="788" spans="1:27" x14ac:dyDescent="0.25">
      <c r="A788"/>
      <c r="B788" s="98" t="s">
        <v>356</v>
      </c>
      <c r="C788" s="75" t="s">
        <v>338</v>
      </c>
      <c r="D788" s="75" t="s">
        <v>357</v>
      </c>
      <c r="E788" s="28">
        <f t="shared" si="525"/>
        <v>92173</v>
      </c>
      <c r="F788" s="143" t="str">
        <f>INDEX(PV_Summary!$B$18:$B$118,MATCH($E788,PV_Summary!$A$18:$A$118,0))</f>
        <v>S</v>
      </c>
      <c r="G788" s="123">
        <v>32.543016999999999</v>
      </c>
      <c r="H788" s="61">
        <v>-117.038675</v>
      </c>
      <c r="I788" s="44" t="s">
        <v>37</v>
      </c>
      <c r="J788" s="46">
        <f>IF(O788&gt;1,Sym_Scl_Aggr_Parent,IF(O788&lt;1,Sym_Scl_Aggr_Child,Sym_Scl_Normal))</f>
        <v>0.75</v>
      </c>
      <c r="K788" s="100"/>
      <c r="L788" s="44" t="str">
        <f t="shared" si="523"/>
        <v/>
      </c>
      <c r="M788" s="46">
        <f>IF(O788&gt;1,Label_Scl_Aggr_Parent,IF(O788&lt;1,Label_Scl_Aggr_Child,Label_Scl_Normal))</f>
        <v>0.75</v>
      </c>
      <c r="N788" s="46"/>
      <c r="O788" s="41">
        <f t="shared" si="518"/>
        <v>0</v>
      </c>
      <c r="P788" s="42">
        <v>12000</v>
      </c>
      <c r="Q788" s="97" t="s">
        <v>37</v>
      </c>
      <c r="R788" s="28" t="s">
        <v>56</v>
      </c>
      <c r="S788" s="48">
        <f t="shared" si="527"/>
        <v>72000</v>
      </c>
      <c r="T788" s="48">
        <f t="shared" si="530"/>
        <v>0</v>
      </c>
      <c r="V788" s="143">
        <v>76</v>
      </c>
      <c r="W788" s="28">
        <v>1201</v>
      </c>
      <c r="X788" s="105">
        <v>1.48</v>
      </c>
      <c r="Y788" s="105">
        <v>9.89</v>
      </c>
      <c r="Z788" s="73" t="s">
        <v>367</v>
      </c>
      <c r="AA788" s="79">
        <v>0</v>
      </c>
    </row>
    <row r="789" spans="1:27" x14ac:dyDescent="0.25">
      <c r="A789"/>
      <c r="B789" s="98" t="s">
        <v>358</v>
      </c>
      <c r="C789" s="75" t="s">
        <v>338</v>
      </c>
      <c r="D789" s="75" t="s">
        <v>357</v>
      </c>
      <c r="E789" s="28">
        <f t="shared" si="525"/>
        <v>92173</v>
      </c>
      <c r="F789" s="143" t="str">
        <f>INDEX(PV_Summary!$B$18:$B$118,MATCH($E789,PV_Summary!$A$18:$A$118,0))</f>
        <v>S</v>
      </c>
      <c r="G789" s="123">
        <v>32.543897999999999</v>
      </c>
      <c r="H789" s="61">
        <v>-117.046077</v>
      </c>
      <c r="I789" s="44" t="s">
        <v>3</v>
      </c>
      <c r="J789" s="46">
        <f t="shared" ref="J789:J794" si="531">IF(O789&gt;1,Sym_Scl_Aggr_Parent,IF(O789&lt;1,Sym_Scl_Aggr_Child,Sym_Scl_Normal))</f>
        <v>0.75</v>
      </c>
      <c r="K789" s="100"/>
      <c r="L789" s="44" t="str">
        <f t="shared" si="523"/>
        <v/>
      </c>
      <c r="M789" s="46">
        <f t="shared" ref="M789:M794" si="532">IF(O789&gt;1,Label_Scl_Aggr_Parent,IF(O789&lt;1,Label_Scl_Aggr_Child,Label_Scl_Normal))</f>
        <v>0.75</v>
      </c>
      <c r="N789" s="46"/>
      <c r="O789" s="41">
        <f t="shared" si="518"/>
        <v>0</v>
      </c>
      <c r="P789" s="42">
        <v>63000</v>
      </c>
      <c r="Q789" s="44" t="s">
        <v>3</v>
      </c>
      <c r="R789" s="28" t="s">
        <v>57</v>
      </c>
      <c r="S789" s="48">
        <f t="shared" si="527"/>
        <v>315000</v>
      </c>
      <c r="T789" s="48">
        <f t="shared" si="530"/>
        <v>0</v>
      </c>
      <c r="V789" s="143">
        <v>76</v>
      </c>
      <c r="W789" s="28">
        <v>1201</v>
      </c>
      <c r="X789" s="105">
        <v>1.48</v>
      </c>
      <c r="Y789" s="105">
        <v>9.89</v>
      </c>
      <c r="Z789" s="73" t="s">
        <v>367</v>
      </c>
      <c r="AA789" s="79">
        <v>200</v>
      </c>
    </row>
    <row r="790" spans="1:27" x14ac:dyDescent="0.25">
      <c r="A790"/>
      <c r="B790" s="98" t="s">
        <v>359</v>
      </c>
      <c r="C790" s="75" t="s">
        <v>338</v>
      </c>
      <c r="D790" s="75" t="s">
        <v>357</v>
      </c>
      <c r="E790" s="28">
        <f t="shared" si="525"/>
        <v>92173</v>
      </c>
      <c r="F790" s="143" t="str">
        <f>INDEX(PV_Summary!$B$18:$B$118,MATCH($E790,PV_Summary!$A$18:$A$118,0))</f>
        <v>S</v>
      </c>
      <c r="G790" s="123">
        <v>32.543674000000003</v>
      </c>
      <c r="H790" s="61">
        <v>-117.044954</v>
      </c>
      <c r="I790" s="44" t="s">
        <v>3</v>
      </c>
      <c r="J790" s="46">
        <f t="shared" si="531"/>
        <v>0.75</v>
      </c>
      <c r="K790" s="100"/>
      <c r="L790" s="44" t="str">
        <f t="shared" si="523"/>
        <v/>
      </c>
      <c r="M790" s="46">
        <f t="shared" si="532"/>
        <v>0.75</v>
      </c>
      <c r="N790" s="46"/>
      <c r="O790" s="41">
        <f t="shared" si="518"/>
        <v>0</v>
      </c>
      <c r="P790" s="42">
        <v>11000</v>
      </c>
      <c r="Q790" s="44" t="s">
        <v>3</v>
      </c>
      <c r="R790" s="28" t="s">
        <v>57</v>
      </c>
      <c r="S790" s="48">
        <f t="shared" si="527"/>
        <v>55000</v>
      </c>
      <c r="T790" s="48">
        <f t="shared" si="530"/>
        <v>0</v>
      </c>
      <c r="V790" s="143">
        <v>76</v>
      </c>
      <c r="W790" s="28">
        <v>1201</v>
      </c>
      <c r="X790" s="105">
        <v>1.48</v>
      </c>
      <c r="Y790" s="105">
        <v>9.89</v>
      </c>
      <c r="Z790" s="73" t="s">
        <v>367</v>
      </c>
      <c r="AA790" s="79">
        <v>200</v>
      </c>
    </row>
    <row r="791" spans="1:27" x14ac:dyDescent="0.25">
      <c r="A791"/>
      <c r="B791" s="98" t="s">
        <v>360</v>
      </c>
      <c r="C791" s="75" t="s">
        <v>338</v>
      </c>
      <c r="D791" s="75" t="s">
        <v>357</v>
      </c>
      <c r="E791" s="28">
        <f t="shared" si="525"/>
        <v>92173</v>
      </c>
      <c r="F791" s="143" t="str">
        <f>INDEX(PV_Summary!$B$18:$B$118,MATCH($E791,PV_Summary!$A$18:$A$118,0))</f>
        <v>S</v>
      </c>
      <c r="G791" s="123">
        <v>32.544790999999996</v>
      </c>
      <c r="H791" s="61">
        <v>-117.043863</v>
      </c>
      <c r="I791" s="44" t="s">
        <v>3</v>
      </c>
      <c r="J791" s="46">
        <f t="shared" si="531"/>
        <v>0.75</v>
      </c>
      <c r="K791" s="100"/>
      <c r="L791" s="44" t="str">
        <f t="shared" si="523"/>
        <v/>
      </c>
      <c r="M791" s="46">
        <f t="shared" si="532"/>
        <v>0.75</v>
      </c>
      <c r="N791" s="46"/>
      <c r="O791" s="41">
        <f t="shared" si="518"/>
        <v>0</v>
      </c>
      <c r="P791" s="42">
        <v>128000</v>
      </c>
      <c r="Q791" s="44" t="s">
        <v>3</v>
      </c>
      <c r="R791" s="28" t="s">
        <v>57</v>
      </c>
      <c r="S791" s="48">
        <f t="shared" si="527"/>
        <v>640000</v>
      </c>
      <c r="T791" s="48">
        <f t="shared" si="530"/>
        <v>0</v>
      </c>
      <c r="V791" s="143">
        <v>76</v>
      </c>
      <c r="W791" s="28">
        <v>1201</v>
      </c>
      <c r="X791" s="105">
        <v>1.48</v>
      </c>
      <c r="Y791" s="105">
        <v>9.89</v>
      </c>
      <c r="Z791" s="73" t="s">
        <v>367</v>
      </c>
      <c r="AA791" s="28">
        <v>0</v>
      </c>
    </row>
    <row r="792" spans="1:27" x14ac:dyDescent="0.25">
      <c r="A792"/>
      <c r="B792" s="98" t="s">
        <v>361</v>
      </c>
      <c r="C792" s="75" t="s">
        <v>338</v>
      </c>
      <c r="D792" s="75" t="s">
        <v>357</v>
      </c>
      <c r="E792" s="28">
        <f t="shared" si="525"/>
        <v>92173</v>
      </c>
      <c r="F792" s="143" t="str">
        <f>INDEX(PV_Summary!$B$18:$B$118,MATCH($E792,PV_Summary!$A$18:$A$118,0))</f>
        <v>S</v>
      </c>
      <c r="G792" s="123">
        <v>32.544694999999997</v>
      </c>
      <c r="H792" s="61">
        <v>-117.04150799999999</v>
      </c>
      <c r="I792" s="44" t="s">
        <v>3</v>
      </c>
      <c r="J792" s="46">
        <f t="shared" si="531"/>
        <v>0.75</v>
      </c>
      <c r="K792" s="100"/>
      <c r="L792" s="44" t="str">
        <f t="shared" si="523"/>
        <v/>
      </c>
      <c r="M792" s="46">
        <f t="shared" si="532"/>
        <v>0.75</v>
      </c>
      <c r="N792" s="46"/>
      <c r="O792" s="41">
        <f t="shared" si="518"/>
        <v>0</v>
      </c>
      <c r="P792" s="42">
        <v>82000</v>
      </c>
      <c r="Q792" s="44" t="s">
        <v>3</v>
      </c>
      <c r="R792" s="28" t="s">
        <v>57</v>
      </c>
      <c r="S792" s="48">
        <f t="shared" si="527"/>
        <v>410000</v>
      </c>
      <c r="T792" s="48">
        <f t="shared" si="530"/>
        <v>0</v>
      </c>
      <c r="V792" s="143">
        <v>76</v>
      </c>
      <c r="W792" s="28">
        <v>1201</v>
      </c>
      <c r="X792" s="105">
        <v>1.48</v>
      </c>
      <c r="Y792" s="105">
        <v>9.89</v>
      </c>
      <c r="Z792" s="73" t="s">
        <v>367</v>
      </c>
      <c r="AA792" s="28">
        <v>50</v>
      </c>
    </row>
    <row r="793" spans="1:27" x14ac:dyDescent="0.25">
      <c r="A793"/>
      <c r="B793" s="98" t="s">
        <v>362</v>
      </c>
      <c r="C793" s="75" t="s">
        <v>338</v>
      </c>
      <c r="D793" s="75" t="s">
        <v>357</v>
      </c>
      <c r="E793" s="28">
        <f t="shared" si="525"/>
        <v>92173</v>
      </c>
      <c r="F793" s="143" t="str">
        <f>INDEX(PV_Summary!$B$18:$B$118,MATCH($E793,PV_Summary!$A$18:$A$118,0))</f>
        <v>S</v>
      </c>
      <c r="G793" s="123">
        <v>32.544694999999997</v>
      </c>
      <c r="H793" s="61">
        <v>-117.039877</v>
      </c>
      <c r="I793" s="44" t="s">
        <v>3</v>
      </c>
      <c r="J793" s="46">
        <f t="shared" si="531"/>
        <v>0.75</v>
      </c>
      <c r="K793" s="100"/>
      <c r="L793" s="44" t="str">
        <f t="shared" si="523"/>
        <v/>
      </c>
      <c r="M793" s="46">
        <f t="shared" si="532"/>
        <v>0.75</v>
      </c>
      <c r="N793" s="46"/>
      <c r="O793" s="41">
        <f t="shared" si="518"/>
        <v>0</v>
      </c>
      <c r="P793" s="42">
        <v>86000</v>
      </c>
      <c r="Q793" s="44" t="s">
        <v>3</v>
      </c>
      <c r="R793" s="28" t="s">
        <v>57</v>
      </c>
      <c r="S793" s="48">
        <f t="shared" si="527"/>
        <v>430000</v>
      </c>
      <c r="T793" s="48">
        <f t="shared" si="530"/>
        <v>0</v>
      </c>
      <c r="V793" s="143">
        <v>76</v>
      </c>
      <c r="W793" s="28">
        <v>1201</v>
      </c>
      <c r="X793" s="105">
        <v>1.48</v>
      </c>
      <c r="Y793" s="105">
        <v>9.89</v>
      </c>
      <c r="Z793" s="73" t="s">
        <v>367</v>
      </c>
      <c r="AA793" s="28">
        <v>100</v>
      </c>
    </row>
    <row r="794" spans="1:27" x14ac:dyDescent="0.25">
      <c r="A794"/>
      <c r="B794" s="98" t="s">
        <v>363</v>
      </c>
      <c r="C794" s="75" t="s">
        <v>338</v>
      </c>
      <c r="D794" s="75" t="s">
        <v>357</v>
      </c>
      <c r="E794" s="28">
        <f t="shared" si="525"/>
        <v>92173</v>
      </c>
      <c r="F794" s="143" t="str">
        <f>INDEX(PV_Summary!$B$18:$B$118,MATCH($E794,PV_Summary!$A$18:$A$118,0))</f>
        <v>S</v>
      </c>
      <c r="G794" s="123">
        <v>32.544708999999997</v>
      </c>
      <c r="H794" s="61">
        <v>-117.03837900000001</v>
      </c>
      <c r="I794" s="44" t="s">
        <v>3</v>
      </c>
      <c r="J794" s="46">
        <f t="shared" si="531"/>
        <v>0.75</v>
      </c>
      <c r="K794" s="100"/>
      <c r="L794" s="44" t="str">
        <f t="shared" si="523"/>
        <v/>
      </c>
      <c r="M794" s="46">
        <f t="shared" si="532"/>
        <v>0.75</v>
      </c>
      <c r="N794" s="46"/>
      <c r="O794" s="41">
        <f t="shared" si="518"/>
        <v>0</v>
      </c>
      <c r="P794" s="42">
        <v>47000</v>
      </c>
      <c r="Q794" s="44" t="s">
        <v>3</v>
      </c>
      <c r="R794" s="28" t="s">
        <v>57</v>
      </c>
      <c r="S794" s="48">
        <f t="shared" si="527"/>
        <v>235000</v>
      </c>
      <c r="T794" s="48">
        <f t="shared" si="530"/>
        <v>0</v>
      </c>
      <c r="V794" s="143">
        <v>76</v>
      </c>
      <c r="W794" s="28">
        <v>1201</v>
      </c>
      <c r="X794" s="105">
        <v>1.48</v>
      </c>
      <c r="Y794" s="105">
        <v>9.89</v>
      </c>
      <c r="Z794" s="73" t="s">
        <v>367</v>
      </c>
      <c r="AA794" s="28">
        <v>100</v>
      </c>
    </row>
    <row r="795" spans="1:27" x14ac:dyDescent="0.25">
      <c r="A795"/>
      <c r="B795" s="98" t="s">
        <v>364</v>
      </c>
      <c r="C795" s="75" t="s">
        <v>338</v>
      </c>
      <c r="D795" s="75" t="s">
        <v>357</v>
      </c>
      <c r="E795" s="28">
        <f t="shared" si="525"/>
        <v>92173</v>
      </c>
      <c r="F795" s="143" t="str">
        <f>INDEX(PV_Summary!$B$18:$B$118,MATCH($E795,PV_Summary!$A$18:$A$118,0))</f>
        <v>S</v>
      </c>
      <c r="G795" s="123">
        <v>32.542876999999997</v>
      </c>
      <c r="H795" s="61">
        <v>-117.041522</v>
      </c>
      <c r="I795" s="44" t="s">
        <v>3</v>
      </c>
      <c r="J795" s="46">
        <f t="shared" ref="J795:J813" si="533">IF(O795&gt;1,Sym_Scl_Aggr_Parent,IF(O795&lt;1,Sym_Scl_Aggr_Child,Sym_Scl_Normal))</f>
        <v>0.75</v>
      </c>
      <c r="K795" s="100"/>
      <c r="L795" s="44" t="str">
        <f t="shared" si="523"/>
        <v/>
      </c>
      <c r="M795" s="46">
        <f t="shared" ref="M795:M813" si="534">IF(O795&gt;1,Label_Scl_Aggr_Parent,IF(O795&lt;1,Label_Scl_Aggr_Child,Label_Scl_Normal))</f>
        <v>0.75</v>
      </c>
      <c r="N795" s="46"/>
      <c r="O795" s="41">
        <f t="shared" si="518"/>
        <v>0</v>
      </c>
      <c r="P795" s="42">
        <v>18500</v>
      </c>
      <c r="Q795" s="44" t="s">
        <v>3</v>
      </c>
      <c r="R795" s="28" t="s">
        <v>57</v>
      </c>
      <c r="S795" s="48">
        <f t="shared" si="527"/>
        <v>92500</v>
      </c>
      <c r="T795" s="48">
        <f t="shared" si="530"/>
        <v>0</v>
      </c>
      <c r="V795" s="143">
        <v>76</v>
      </c>
      <c r="W795" s="28">
        <v>1201</v>
      </c>
      <c r="X795" s="105">
        <v>1.48</v>
      </c>
      <c r="Y795" s="105">
        <v>9.89</v>
      </c>
      <c r="Z795" s="73" t="s">
        <v>367</v>
      </c>
      <c r="AA795" s="28">
        <v>100</v>
      </c>
    </row>
    <row r="796" spans="1:27" x14ac:dyDescent="0.25">
      <c r="A796"/>
      <c r="B796" s="98" t="s">
        <v>365</v>
      </c>
      <c r="C796" s="75" t="s">
        <v>338</v>
      </c>
      <c r="D796" s="75" t="s">
        <v>357</v>
      </c>
      <c r="E796" s="28">
        <f t="shared" si="525"/>
        <v>92173</v>
      </c>
      <c r="F796" s="143" t="str">
        <f>INDEX(PV_Summary!$B$18:$B$118,MATCH($E796,PV_Summary!$A$18:$A$118,0))</f>
        <v>S</v>
      </c>
      <c r="G796" s="123">
        <v>32.542906000000002</v>
      </c>
      <c r="H796" s="61">
        <v>-117.03981400000001</v>
      </c>
      <c r="I796" s="44" t="s">
        <v>3</v>
      </c>
      <c r="J796" s="46">
        <f t="shared" si="533"/>
        <v>0.75</v>
      </c>
      <c r="K796" s="100"/>
      <c r="L796" s="44" t="str">
        <f t="shared" si="523"/>
        <v/>
      </c>
      <c r="M796" s="46">
        <f t="shared" si="534"/>
        <v>0.75</v>
      </c>
      <c r="N796" s="46"/>
      <c r="O796" s="41">
        <f t="shared" si="518"/>
        <v>0</v>
      </c>
      <c r="P796" s="42">
        <v>29600</v>
      </c>
      <c r="Q796" s="44" t="s">
        <v>3</v>
      </c>
      <c r="R796" s="28" t="s">
        <v>57</v>
      </c>
      <c r="S796" s="48">
        <f t="shared" si="527"/>
        <v>148000</v>
      </c>
      <c r="T796" s="48">
        <f t="shared" si="530"/>
        <v>0</v>
      </c>
      <c r="V796" s="143">
        <v>76</v>
      </c>
      <c r="W796" s="28">
        <v>1201</v>
      </c>
      <c r="X796" s="105">
        <v>1.48</v>
      </c>
      <c r="Y796" s="105">
        <v>9.89</v>
      </c>
      <c r="Z796" s="73" t="s">
        <v>367</v>
      </c>
      <c r="AA796" s="28">
        <v>100</v>
      </c>
    </row>
    <row r="797" spans="1:27" x14ac:dyDescent="0.25">
      <c r="A797"/>
      <c r="B797" s="28" t="s">
        <v>372</v>
      </c>
      <c r="C797" s="75" t="s">
        <v>373</v>
      </c>
      <c r="D797" t="s">
        <v>357</v>
      </c>
      <c r="E797" s="28">
        <f t="shared" si="525"/>
        <v>92173</v>
      </c>
      <c r="F797" s="143" t="str">
        <f>INDEX(PV_Summary!$B$18:$B$118,MATCH($E797,PV_Summary!$A$18:$A$118,0))</f>
        <v>S</v>
      </c>
      <c r="G797" s="123">
        <v>32.544719999999998</v>
      </c>
      <c r="H797" s="61">
        <v>-117.035629</v>
      </c>
      <c r="I797" s="44" t="s">
        <v>3</v>
      </c>
      <c r="J797" s="46">
        <f t="shared" ca="1" si="533"/>
        <v>1.5</v>
      </c>
      <c r="K797" s="100"/>
      <c r="L797" s="44" t="str">
        <f t="shared" ca="1" si="523"/>
        <v>Total</v>
      </c>
      <c r="M797" s="46">
        <f t="shared" ca="1" si="534"/>
        <v>1.25</v>
      </c>
      <c r="N797" s="46"/>
      <c r="O797" s="41">
        <f t="shared" ca="1" si="518"/>
        <v>2</v>
      </c>
      <c r="P797" s="42">
        <v>155000</v>
      </c>
      <c r="Q797" s="44" t="s">
        <v>3</v>
      </c>
      <c r="R797" s="28" t="s">
        <v>57</v>
      </c>
      <c r="S797" s="48">
        <f t="shared" si="527"/>
        <v>775000</v>
      </c>
      <c r="T797" s="48">
        <f t="shared" ca="1" si="530"/>
        <v>775000</v>
      </c>
      <c r="V797" s="143">
        <v>76</v>
      </c>
      <c r="W797" s="28">
        <v>1201</v>
      </c>
      <c r="X797" s="105">
        <v>1.48</v>
      </c>
      <c r="Y797" s="105">
        <v>9.89</v>
      </c>
      <c r="Z797" s="73" t="s">
        <v>367</v>
      </c>
      <c r="AA797" s="28">
        <v>0</v>
      </c>
    </row>
    <row r="798" spans="1:27" x14ac:dyDescent="0.25">
      <c r="A798"/>
      <c r="B798" s="28" t="s">
        <v>374</v>
      </c>
      <c r="C798" s="28" t="s">
        <v>373</v>
      </c>
      <c r="D798" s="75" t="s">
        <v>357</v>
      </c>
      <c r="E798" s="28">
        <f t="shared" si="525"/>
        <v>92173</v>
      </c>
      <c r="F798" s="143" t="str">
        <f>INDEX(PV_Summary!$B$18:$B$118,MATCH($E798,PV_Summary!$A$18:$A$118,0))</f>
        <v>S</v>
      </c>
      <c r="G798" s="123">
        <v>32.542732000000001</v>
      </c>
      <c r="H798" s="61">
        <v>-117.033618</v>
      </c>
      <c r="I798" s="44" t="s">
        <v>51</v>
      </c>
      <c r="J798" s="46">
        <f t="shared" si="533"/>
        <v>0.75</v>
      </c>
      <c r="K798" s="100"/>
      <c r="L798" s="44" t="str">
        <f t="shared" si="523"/>
        <v/>
      </c>
      <c r="M798" s="46">
        <f t="shared" si="534"/>
        <v>0.75</v>
      </c>
      <c r="N798" s="46"/>
      <c r="O798" s="41">
        <f t="shared" si="518"/>
        <v>0</v>
      </c>
      <c r="Q798" s="44" t="s">
        <v>51</v>
      </c>
      <c r="S798" s="48">
        <f t="shared" si="527"/>
        <v>0</v>
      </c>
      <c r="T798" s="48">
        <f t="shared" si="530"/>
        <v>0</v>
      </c>
      <c r="U798" s="28" t="s">
        <v>445</v>
      </c>
      <c r="V798" s="143">
        <v>76</v>
      </c>
      <c r="W798" s="28">
        <v>1201</v>
      </c>
      <c r="X798" s="105">
        <v>1.48</v>
      </c>
      <c r="Y798" s="105">
        <v>9.89</v>
      </c>
      <c r="Z798" s="73" t="s">
        <v>367</v>
      </c>
      <c r="AA798" s="28">
        <v>0</v>
      </c>
    </row>
    <row r="799" spans="1:27" x14ac:dyDescent="0.25">
      <c r="A799" s="4"/>
      <c r="B799" s="28" t="s">
        <v>375</v>
      </c>
      <c r="C799" s="28" t="s">
        <v>376</v>
      </c>
      <c r="D799" s="75" t="s">
        <v>377</v>
      </c>
      <c r="E799" s="28">
        <f t="shared" si="525"/>
        <v>92154</v>
      </c>
      <c r="F799" s="143" t="str">
        <f>INDEX(PV_Summary!$B$18:$B$118,MATCH($E799,PV_Summary!$A$18:$A$118,0))</f>
        <v>S</v>
      </c>
      <c r="G799" s="123">
        <v>32.548113999999998</v>
      </c>
      <c r="H799" s="61">
        <v>-116.994461</v>
      </c>
      <c r="I799" s="44" t="s">
        <v>218</v>
      </c>
      <c r="J799" s="46">
        <f t="shared" ca="1" si="533"/>
        <v>1.5</v>
      </c>
      <c r="K799" s="100"/>
      <c r="L799" s="44" t="str">
        <f t="shared" ca="1" si="523"/>
        <v>Total</v>
      </c>
      <c r="M799" s="46">
        <f t="shared" ca="1" si="534"/>
        <v>1.25</v>
      </c>
      <c r="N799" s="46"/>
      <c r="O799" s="41">
        <f t="shared" ca="1" si="518"/>
        <v>4</v>
      </c>
      <c r="Q799" s="44"/>
      <c r="S799" s="48">
        <f t="shared" si="527"/>
        <v>0</v>
      </c>
      <c r="T799" s="48">
        <f t="shared" ca="1" si="530"/>
        <v>996000</v>
      </c>
      <c r="U799" s="28" t="s">
        <v>744</v>
      </c>
      <c r="W799" s="28"/>
      <c r="X799" s="105"/>
      <c r="Y799" s="105"/>
      <c r="Z799" s="73" t="s">
        <v>1091</v>
      </c>
      <c r="AA799" s="28"/>
    </row>
    <row r="800" spans="1:27" x14ac:dyDescent="0.25">
      <c r="A800" s="4"/>
      <c r="B800" s="98" t="s">
        <v>378</v>
      </c>
      <c r="C800" s="28" t="s">
        <v>376</v>
      </c>
      <c r="D800" s="75" t="s">
        <v>377</v>
      </c>
      <c r="E800" s="28">
        <f t="shared" si="525"/>
        <v>92154</v>
      </c>
      <c r="F800" s="143" t="str">
        <f>INDEX(PV_Summary!$B$18:$B$118,MATCH($E800,PV_Summary!$A$18:$A$118,0))</f>
        <v>S</v>
      </c>
      <c r="G800" s="123">
        <v>32.548254</v>
      </c>
      <c r="H800" s="61">
        <v>-116.994018</v>
      </c>
      <c r="I800" s="44" t="s">
        <v>37</v>
      </c>
      <c r="J800" s="46">
        <f t="shared" si="533"/>
        <v>0.75</v>
      </c>
      <c r="K800" s="100"/>
      <c r="L800" s="44" t="str">
        <f t="shared" si="523"/>
        <v/>
      </c>
      <c r="M800" s="46">
        <f t="shared" si="534"/>
        <v>0.75</v>
      </c>
      <c r="N800" s="46"/>
      <c r="O800" s="41">
        <f t="shared" si="518"/>
        <v>0</v>
      </c>
      <c r="P800" s="42">
        <v>47900</v>
      </c>
      <c r="Q800" s="44" t="s">
        <v>381</v>
      </c>
      <c r="R800" s="28" t="s">
        <v>56</v>
      </c>
      <c r="S800" s="48">
        <f t="shared" si="527"/>
        <v>287400</v>
      </c>
      <c r="T800" s="48">
        <f t="shared" si="530"/>
        <v>0</v>
      </c>
      <c r="U800" s="28" t="s">
        <v>744</v>
      </c>
      <c r="W800" s="28" t="s">
        <v>748</v>
      </c>
      <c r="X800" s="105"/>
      <c r="Y800" s="105"/>
      <c r="Z800" s="73" t="s">
        <v>1091</v>
      </c>
      <c r="AA800" s="28"/>
    </row>
    <row r="801" spans="1:27" x14ac:dyDescent="0.25">
      <c r="A801"/>
      <c r="B801" s="98" t="s">
        <v>379</v>
      </c>
      <c r="C801" s="75" t="s">
        <v>376</v>
      </c>
      <c r="D801" s="75" t="s">
        <v>377</v>
      </c>
      <c r="E801" s="28">
        <f t="shared" si="525"/>
        <v>92154</v>
      </c>
      <c r="F801" s="143" t="str">
        <f>INDEX(PV_Summary!$B$18:$B$118,MATCH($E801,PV_Summary!$A$18:$A$118,0))</f>
        <v>S</v>
      </c>
      <c r="G801" s="123">
        <v>32.547953</v>
      </c>
      <c r="H801" s="61">
        <v>-116.99487499999999</v>
      </c>
      <c r="I801" s="99" t="s">
        <v>37</v>
      </c>
      <c r="J801" s="46">
        <f t="shared" si="533"/>
        <v>0.75</v>
      </c>
      <c r="K801" s="100"/>
      <c r="L801" s="44" t="str">
        <f t="shared" si="523"/>
        <v/>
      </c>
      <c r="M801" s="46">
        <f t="shared" si="534"/>
        <v>0.75</v>
      </c>
      <c r="N801" s="46"/>
      <c r="O801" s="41">
        <f t="shared" si="518"/>
        <v>0</v>
      </c>
      <c r="P801" s="42">
        <v>29300</v>
      </c>
      <c r="Q801" s="44" t="s">
        <v>381</v>
      </c>
      <c r="R801" s="28" t="s">
        <v>56</v>
      </c>
      <c r="S801" s="48">
        <f t="shared" si="527"/>
        <v>175800</v>
      </c>
      <c r="T801" s="48">
        <f t="shared" si="530"/>
        <v>0</v>
      </c>
      <c r="U801" s="28" t="s">
        <v>744</v>
      </c>
      <c r="W801" s="28" t="s">
        <v>748</v>
      </c>
      <c r="X801" s="105"/>
      <c r="Y801" s="105"/>
      <c r="Z801" s="73" t="s">
        <v>1091</v>
      </c>
      <c r="AA801" s="28"/>
    </row>
    <row r="802" spans="1:27" x14ac:dyDescent="0.25">
      <c r="A802"/>
      <c r="B802" s="98" t="s">
        <v>380</v>
      </c>
      <c r="C802" s="75" t="s">
        <v>376</v>
      </c>
      <c r="D802" s="75" t="s">
        <v>377</v>
      </c>
      <c r="E802" s="28">
        <f t="shared" si="525"/>
        <v>92154</v>
      </c>
      <c r="F802" s="143" t="str">
        <f>INDEX(PV_Summary!$B$18:$B$118,MATCH($E802,PV_Summary!$A$18:$A$118,0))</f>
        <v>S</v>
      </c>
      <c r="G802" s="123">
        <v>32.547767</v>
      </c>
      <c r="H802" s="61">
        <v>-116.996058</v>
      </c>
      <c r="I802" s="44" t="s">
        <v>37</v>
      </c>
      <c r="J802" s="46">
        <f t="shared" si="533"/>
        <v>0.75</v>
      </c>
      <c r="K802" s="100"/>
      <c r="L802" s="44" t="str">
        <f t="shared" si="523"/>
        <v/>
      </c>
      <c r="M802" s="46">
        <f t="shared" si="534"/>
        <v>0.75</v>
      </c>
      <c r="N802" s="46"/>
      <c r="O802" s="41">
        <f t="shared" si="518"/>
        <v>0</v>
      </c>
      <c r="P802" s="42">
        <v>88800</v>
      </c>
      <c r="Q802" s="44" t="s">
        <v>381</v>
      </c>
      <c r="R802" s="28" t="s">
        <v>56</v>
      </c>
      <c r="S802" s="48">
        <f t="shared" si="527"/>
        <v>532800</v>
      </c>
      <c r="T802" s="48">
        <f t="shared" si="530"/>
        <v>0</v>
      </c>
      <c r="U802" s="28" t="s">
        <v>744</v>
      </c>
      <c r="W802" s="28" t="s">
        <v>748</v>
      </c>
      <c r="X802" s="105"/>
      <c r="Y802" s="105"/>
      <c r="Z802" s="73" t="s">
        <v>1091</v>
      </c>
      <c r="AA802" s="28"/>
    </row>
    <row r="803" spans="1:27" x14ac:dyDescent="0.25">
      <c r="A803" s="4"/>
      <c r="B803" s="62" t="s">
        <v>382</v>
      </c>
      <c r="C803" s="75" t="s">
        <v>383</v>
      </c>
      <c r="D803" s="75" t="s">
        <v>377</v>
      </c>
      <c r="E803" s="28">
        <f t="shared" si="525"/>
        <v>92154</v>
      </c>
      <c r="F803" s="143" t="str">
        <f>INDEX(PV_Summary!$B$18:$B$118,MATCH($E803,PV_Summary!$A$18:$A$118,0))</f>
        <v>S</v>
      </c>
      <c r="G803" s="123">
        <v>32.549469000000002</v>
      </c>
      <c r="H803" s="61">
        <v>-116.98281799999999</v>
      </c>
      <c r="I803" s="44" t="s">
        <v>210</v>
      </c>
      <c r="J803" s="46">
        <f t="shared" ca="1" si="533"/>
        <v>1</v>
      </c>
      <c r="K803" s="100" t="s">
        <v>157</v>
      </c>
      <c r="L803" s="44" t="str">
        <f t="shared" ca="1" si="523"/>
        <v/>
      </c>
      <c r="M803" s="46">
        <f t="shared" ca="1" si="534"/>
        <v>1</v>
      </c>
      <c r="N803" s="46"/>
      <c r="O803" s="41">
        <f t="shared" ca="1" si="518"/>
        <v>1</v>
      </c>
      <c r="Q803" s="44" t="s">
        <v>172</v>
      </c>
      <c r="S803" s="48">
        <f t="shared" si="527"/>
        <v>0</v>
      </c>
      <c r="T803" s="48">
        <f t="shared" ca="1" si="530"/>
        <v>0</v>
      </c>
      <c r="U803" s="28" t="s">
        <v>744</v>
      </c>
      <c r="W803" s="28" t="s">
        <v>748</v>
      </c>
      <c r="X803" s="105"/>
      <c r="Y803" s="105"/>
      <c r="Z803" s="73" t="s">
        <v>1091</v>
      </c>
      <c r="AA803" s="28"/>
    </row>
    <row r="804" spans="1:27" x14ac:dyDescent="0.25">
      <c r="A804" s="4"/>
      <c r="B804" s="62" t="s">
        <v>384</v>
      </c>
      <c r="C804" s="75" t="s">
        <v>391</v>
      </c>
      <c r="D804" s="75" t="s">
        <v>377</v>
      </c>
      <c r="E804" s="28">
        <f t="shared" si="525"/>
        <v>92154</v>
      </c>
      <c r="F804" s="143" t="str">
        <f>INDEX(PV_Summary!$B$18:$B$118,MATCH($E804,PV_Summary!$A$18:$A$118,0))</f>
        <v>S</v>
      </c>
      <c r="G804" s="123">
        <v>32.558005000000001</v>
      </c>
      <c r="H804" s="61">
        <v>-116.987039</v>
      </c>
      <c r="I804" s="44" t="s">
        <v>218</v>
      </c>
      <c r="J804" s="46">
        <f t="shared" ca="1" si="533"/>
        <v>1.5</v>
      </c>
      <c r="K804" s="100"/>
      <c r="L804" s="44" t="str">
        <f t="shared" ca="1" si="523"/>
        <v>Total</v>
      </c>
      <c r="M804" s="46">
        <f t="shared" ca="1" si="534"/>
        <v>1.25</v>
      </c>
      <c r="N804" s="46"/>
      <c r="O804" s="41">
        <f t="shared" ca="1" si="518"/>
        <v>5</v>
      </c>
      <c r="Q804" s="44"/>
      <c r="S804" s="48">
        <f t="shared" si="527"/>
        <v>0</v>
      </c>
      <c r="T804" s="48">
        <f t="shared" ca="1" si="530"/>
        <v>4674500</v>
      </c>
      <c r="W804" s="28">
        <v>533</v>
      </c>
      <c r="X804" s="105">
        <v>1.35</v>
      </c>
      <c r="Y804" s="105">
        <v>8.99</v>
      </c>
      <c r="Z804" s="73" t="s">
        <v>499</v>
      </c>
      <c r="AA804" s="28"/>
    </row>
    <row r="805" spans="1:27" x14ac:dyDescent="0.25">
      <c r="A805" s="4"/>
      <c r="B805" s="98" t="s">
        <v>385</v>
      </c>
      <c r="C805" s="75" t="s">
        <v>391</v>
      </c>
      <c r="D805" s="75" t="s">
        <v>377</v>
      </c>
      <c r="E805" s="28">
        <f t="shared" si="525"/>
        <v>92154</v>
      </c>
      <c r="F805" s="143" t="str">
        <f>INDEX(PV_Summary!$B$18:$B$118,MATCH($E805,PV_Summary!$A$18:$A$118,0))</f>
        <v>S</v>
      </c>
      <c r="G805" s="123">
        <v>32.557955999999997</v>
      </c>
      <c r="H805" s="61">
        <v>-116.98778900000001</v>
      </c>
      <c r="I805" s="44" t="s">
        <v>3</v>
      </c>
      <c r="J805" s="46">
        <f t="shared" si="533"/>
        <v>0.75</v>
      </c>
      <c r="K805" s="100"/>
      <c r="L805" s="44" t="str">
        <f t="shared" si="523"/>
        <v/>
      </c>
      <c r="M805" s="46">
        <f t="shared" si="534"/>
        <v>0.75</v>
      </c>
      <c r="N805" s="46"/>
      <c r="O805" s="41">
        <f t="shared" si="518"/>
        <v>0</v>
      </c>
      <c r="P805" s="42">
        <v>54900</v>
      </c>
      <c r="Q805" s="44" t="s">
        <v>3</v>
      </c>
      <c r="R805" s="28" t="s">
        <v>57</v>
      </c>
      <c r="S805" s="48">
        <f t="shared" si="527"/>
        <v>274500</v>
      </c>
      <c r="T805" s="48">
        <f t="shared" si="530"/>
        <v>0</v>
      </c>
      <c r="W805" s="28">
        <v>533</v>
      </c>
      <c r="X805" s="105">
        <v>1.35</v>
      </c>
      <c r="Y805" s="105">
        <v>8.99</v>
      </c>
      <c r="Z805" s="73" t="s">
        <v>499</v>
      </c>
      <c r="AA805" s="28">
        <v>2000</v>
      </c>
    </row>
    <row r="806" spans="1:27" x14ac:dyDescent="0.25">
      <c r="A806" s="4"/>
      <c r="B806" s="98" t="s">
        <v>386</v>
      </c>
      <c r="C806" s="75" t="s">
        <v>391</v>
      </c>
      <c r="D806" s="75" t="s">
        <v>377</v>
      </c>
      <c r="E806" s="28">
        <f t="shared" si="525"/>
        <v>92154</v>
      </c>
      <c r="F806" s="143" t="str">
        <f>INDEX(PV_Summary!$B$18:$B$118,MATCH($E806,PV_Summary!$A$18:$A$118,0))</f>
        <v>S</v>
      </c>
      <c r="G806" s="123">
        <v>32.557955999999997</v>
      </c>
      <c r="H806" s="61">
        <v>-116.98582399999999</v>
      </c>
      <c r="I806" s="44" t="s">
        <v>3</v>
      </c>
      <c r="J806" s="46">
        <f t="shared" si="533"/>
        <v>0.75</v>
      </c>
      <c r="K806" s="100"/>
      <c r="L806" s="44" t="str">
        <f t="shared" si="523"/>
        <v/>
      </c>
      <c r="M806" s="46">
        <f t="shared" si="534"/>
        <v>0.75</v>
      </c>
      <c r="N806" s="46"/>
      <c r="O806" s="41">
        <f t="shared" si="518"/>
        <v>0</v>
      </c>
      <c r="P806" s="42">
        <v>358000</v>
      </c>
      <c r="Q806" s="44" t="s">
        <v>3</v>
      </c>
      <c r="R806" s="28" t="s">
        <v>57</v>
      </c>
      <c r="S806" s="48">
        <f t="shared" si="527"/>
        <v>1790000</v>
      </c>
      <c r="T806" s="48">
        <f t="shared" ref="T806:T837" si="535">SUMIF($C:$C,$C806,$S:$S)*IF($O806&gt;=1,1,0)</f>
        <v>0</v>
      </c>
      <c r="W806" s="28">
        <v>533</v>
      </c>
      <c r="X806" s="105">
        <v>1.35</v>
      </c>
      <c r="Y806" s="105">
        <v>8.99</v>
      </c>
      <c r="Z806" s="73" t="s">
        <v>499</v>
      </c>
      <c r="AA806" s="28">
        <v>1500</v>
      </c>
    </row>
    <row r="807" spans="1:27" x14ac:dyDescent="0.25">
      <c r="A807" s="4"/>
      <c r="B807" s="98" t="s">
        <v>387</v>
      </c>
      <c r="C807" s="75" t="s">
        <v>391</v>
      </c>
      <c r="D807" s="75" t="s">
        <v>377</v>
      </c>
      <c r="E807" s="28">
        <f t="shared" si="525"/>
        <v>92154</v>
      </c>
      <c r="F807" s="143" t="str">
        <f>INDEX(PV_Summary!$B$18:$B$118,MATCH($E807,PV_Summary!$A$18:$A$118,0))</f>
        <v>S</v>
      </c>
      <c r="G807" s="123">
        <v>32.556334</v>
      </c>
      <c r="H807" s="61">
        <v>-116.98725899999999</v>
      </c>
      <c r="I807" s="44" t="s">
        <v>3</v>
      </c>
      <c r="J807" s="46">
        <f t="shared" si="533"/>
        <v>0.75</v>
      </c>
      <c r="K807" s="100"/>
      <c r="L807" s="44" t="str">
        <f t="shared" si="523"/>
        <v/>
      </c>
      <c r="M807" s="46">
        <f t="shared" si="534"/>
        <v>0.75</v>
      </c>
      <c r="N807" s="46"/>
      <c r="O807" s="41">
        <f t="shared" si="518"/>
        <v>0</v>
      </c>
      <c r="P807" s="42">
        <v>230000</v>
      </c>
      <c r="Q807" s="44" t="s">
        <v>3</v>
      </c>
      <c r="R807" s="28" t="s">
        <v>57</v>
      </c>
      <c r="S807" s="48">
        <f t="shared" si="527"/>
        <v>1150000</v>
      </c>
      <c r="T807" s="48">
        <f t="shared" si="535"/>
        <v>0</v>
      </c>
      <c r="W807" s="28">
        <v>533</v>
      </c>
      <c r="X807" s="105">
        <v>1.35</v>
      </c>
      <c r="Y807" s="105">
        <v>8.99</v>
      </c>
      <c r="Z807" s="73" t="s">
        <v>499</v>
      </c>
      <c r="AA807" s="28">
        <v>2000</v>
      </c>
    </row>
    <row r="808" spans="1:27" x14ac:dyDescent="0.25">
      <c r="A808" s="4"/>
      <c r="B808" s="98" t="s">
        <v>388</v>
      </c>
      <c r="C808" s="75" t="s">
        <v>391</v>
      </c>
      <c r="D808" s="75" t="s">
        <v>377</v>
      </c>
      <c r="E808" s="28">
        <f t="shared" si="525"/>
        <v>92154</v>
      </c>
      <c r="F808" s="143" t="str">
        <f>INDEX(PV_Summary!$B$18:$B$118,MATCH($E808,PV_Summary!$A$18:$A$118,0))</f>
        <v>S</v>
      </c>
      <c r="G808" s="123">
        <v>32.556213</v>
      </c>
      <c r="H808" s="61">
        <v>-116.985275</v>
      </c>
      <c r="I808" s="44" t="s">
        <v>3</v>
      </c>
      <c r="J808" s="46">
        <f t="shared" si="533"/>
        <v>0.75</v>
      </c>
      <c r="K808" s="100"/>
      <c r="L808" s="44" t="str">
        <f t="shared" si="523"/>
        <v/>
      </c>
      <c r="M808" s="46">
        <f t="shared" si="534"/>
        <v>0.75</v>
      </c>
      <c r="N808" s="46"/>
      <c r="O808" s="41">
        <f t="shared" si="518"/>
        <v>0</v>
      </c>
      <c r="P808" s="42">
        <v>292000</v>
      </c>
      <c r="Q808" s="44" t="s">
        <v>3</v>
      </c>
      <c r="R808" s="28" t="s">
        <v>57</v>
      </c>
      <c r="S808" s="48">
        <f t="shared" si="527"/>
        <v>1460000</v>
      </c>
      <c r="T808" s="48">
        <f t="shared" si="535"/>
        <v>0</v>
      </c>
      <c r="W808" s="28">
        <v>533</v>
      </c>
      <c r="X808" s="105">
        <v>1.35</v>
      </c>
      <c r="Y808" s="105">
        <v>8.99</v>
      </c>
      <c r="Z808" s="73" t="s">
        <v>499</v>
      </c>
      <c r="AA808" s="28">
        <v>1300</v>
      </c>
    </row>
    <row r="809" spans="1:27" x14ac:dyDescent="0.25">
      <c r="A809" s="4"/>
      <c r="B809" s="62" t="s">
        <v>392</v>
      </c>
      <c r="C809" s="75" t="s">
        <v>397</v>
      </c>
      <c r="D809" s="75" t="s">
        <v>377</v>
      </c>
      <c r="E809" s="28">
        <f t="shared" si="525"/>
        <v>92154</v>
      </c>
      <c r="F809" s="143" t="str">
        <f>INDEX(PV_Summary!$B$18:$B$118,MATCH($E809,PV_Summary!$A$18:$A$118,0))</f>
        <v>S</v>
      </c>
      <c r="G809" s="123">
        <v>32.556134</v>
      </c>
      <c r="H809" s="61">
        <v>-116.980495</v>
      </c>
      <c r="I809" s="44" t="s">
        <v>218</v>
      </c>
      <c r="J809" s="46">
        <f t="shared" ca="1" si="533"/>
        <v>1.5</v>
      </c>
      <c r="K809" s="100"/>
      <c r="L809" s="44" t="str">
        <f t="shared" ca="1" si="523"/>
        <v>Total</v>
      </c>
      <c r="M809" s="46">
        <f t="shared" ca="1" si="534"/>
        <v>1.25</v>
      </c>
      <c r="N809" s="46"/>
      <c r="O809" s="41">
        <f t="shared" ca="1" si="518"/>
        <v>5</v>
      </c>
      <c r="Q809" s="44"/>
      <c r="S809" s="48">
        <f t="shared" si="527"/>
        <v>0</v>
      </c>
      <c r="T809" s="48">
        <f t="shared" ca="1" si="535"/>
        <v>4536000</v>
      </c>
      <c r="W809" s="28">
        <v>533</v>
      </c>
      <c r="X809" s="105">
        <v>1.35</v>
      </c>
      <c r="Y809" s="105">
        <v>8.99</v>
      </c>
      <c r="Z809" s="73" t="s">
        <v>499</v>
      </c>
      <c r="AA809" s="28"/>
    </row>
    <row r="810" spans="1:27" x14ac:dyDescent="0.25">
      <c r="A810" s="4"/>
      <c r="B810" s="98" t="s">
        <v>393</v>
      </c>
      <c r="C810" s="75" t="s">
        <v>397</v>
      </c>
      <c r="D810" s="75" t="s">
        <v>377</v>
      </c>
      <c r="E810" s="28">
        <f t="shared" si="525"/>
        <v>92154</v>
      </c>
      <c r="F810" s="143" t="str">
        <f>INDEX(PV_Summary!$B$18:$B$118,MATCH($E810,PV_Summary!$A$18:$A$118,0))</f>
        <v>S</v>
      </c>
      <c r="G810" s="123">
        <v>32.558024000000003</v>
      </c>
      <c r="H810" s="61">
        <v>-116.983064</v>
      </c>
      <c r="I810" s="44" t="s">
        <v>3</v>
      </c>
      <c r="J810" s="46">
        <f t="shared" si="533"/>
        <v>0.75</v>
      </c>
      <c r="K810" s="100"/>
      <c r="L810" s="44" t="str">
        <f t="shared" si="523"/>
        <v/>
      </c>
      <c r="M810" s="46">
        <f t="shared" si="534"/>
        <v>0.75</v>
      </c>
      <c r="N810" s="46"/>
      <c r="O810" s="41">
        <f t="shared" si="518"/>
        <v>0</v>
      </c>
      <c r="P810" s="42">
        <v>247400</v>
      </c>
      <c r="Q810" s="44" t="s">
        <v>3</v>
      </c>
      <c r="R810" s="28" t="s">
        <v>57</v>
      </c>
      <c r="S810" s="48">
        <f t="shared" si="527"/>
        <v>1237000</v>
      </c>
      <c r="T810" s="48">
        <f t="shared" si="535"/>
        <v>0</v>
      </c>
      <c r="W810" s="28">
        <v>533</v>
      </c>
      <c r="X810" s="105">
        <v>1.35</v>
      </c>
      <c r="Y810" s="105">
        <v>8.99</v>
      </c>
      <c r="Z810" s="73" t="s">
        <v>499</v>
      </c>
      <c r="AA810" s="28">
        <v>700</v>
      </c>
    </row>
    <row r="811" spans="1:27" x14ac:dyDescent="0.25">
      <c r="A811" s="4"/>
      <c r="B811" s="98" t="s">
        <v>394</v>
      </c>
      <c r="C811" s="75" t="s">
        <v>397</v>
      </c>
      <c r="D811" s="75" t="s">
        <v>377</v>
      </c>
      <c r="E811" s="28">
        <f t="shared" si="525"/>
        <v>92154</v>
      </c>
      <c r="F811" s="143" t="str">
        <f>INDEX(PV_Summary!$B$18:$B$118,MATCH($E811,PV_Summary!$A$18:$A$118,0))</f>
        <v>S</v>
      </c>
      <c r="G811" s="123">
        <v>32.557904999999998</v>
      </c>
      <c r="H811" s="61">
        <v>-116.98116899999999</v>
      </c>
      <c r="I811" s="44" t="s">
        <v>3</v>
      </c>
      <c r="J811" s="46">
        <f t="shared" si="533"/>
        <v>0.75</v>
      </c>
      <c r="K811" s="100"/>
      <c r="L811" s="44" t="str">
        <f t="shared" si="523"/>
        <v/>
      </c>
      <c r="M811" s="46">
        <f t="shared" si="534"/>
        <v>0.75</v>
      </c>
      <c r="N811" s="46"/>
      <c r="O811" s="41">
        <f t="shared" ref="O811:O874" si="536">IF($C811=$C810,0,COUNTIFS(Address,$C811))</f>
        <v>0</v>
      </c>
      <c r="P811" s="42">
        <v>235800</v>
      </c>
      <c r="Q811" s="44" t="s">
        <v>3</v>
      </c>
      <c r="R811" s="28" t="s">
        <v>57</v>
      </c>
      <c r="S811" s="48">
        <f t="shared" si="527"/>
        <v>1179000</v>
      </c>
      <c r="T811" s="48">
        <f t="shared" si="535"/>
        <v>0</v>
      </c>
      <c r="W811" s="28">
        <v>533</v>
      </c>
      <c r="X811" s="105">
        <v>1.35</v>
      </c>
      <c r="Y811" s="105">
        <v>8.99</v>
      </c>
      <c r="Z811" s="73" t="s">
        <v>499</v>
      </c>
      <c r="AA811" s="28">
        <v>200</v>
      </c>
    </row>
    <row r="812" spans="1:27" x14ac:dyDescent="0.25">
      <c r="A812" s="4"/>
      <c r="B812" s="98" t="s">
        <v>395</v>
      </c>
      <c r="C812" s="75" t="s">
        <v>397</v>
      </c>
      <c r="D812" s="75" t="s">
        <v>377</v>
      </c>
      <c r="E812" s="28">
        <f t="shared" si="525"/>
        <v>92154</v>
      </c>
      <c r="F812" s="143" t="str">
        <f>INDEX(PV_Summary!$B$18:$B$118,MATCH($E812,PV_Summary!$A$18:$A$118,0))</f>
        <v>S</v>
      </c>
      <c r="G812" s="123">
        <v>32.556507000000003</v>
      </c>
      <c r="H812" s="61">
        <v>-116.982838</v>
      </c>
      <c r="I812" s="44" t="s">
        <v>3</v>
      </c>
      <c r="J812" s="46">
        <f t="shared" si="533"/>
        <v>0.75</v>
      </c>
      <c r="K812" s="100"/>
      <c r="L812" s="44" t="str">
        <f t="shared" si="523"/>
        <v/>
      </c>
      <c r="M812" s="46">
        <f t="shared" si="534"/>
        <v>0.75</v>
      </c>
      <c r="N812" s="46"/>
      <c r="O812" s="41">
        <f t="shared" si="536"/>
        <v>0</v>
      </c>
      <c r="P812" s="42">
        <v>298000</v>
      </c>
      <c r="Q812" s="44" t="s">
        <v>3</v>
      </c>
      <c r="R812" s="28" t="s">
        <v>57</v>
      </c>
      <c r="S812" s="48">
        <f t="shared" si="527"/>
        <v>1490000</v>
      </c>
      <c r="T812" s="48">
        <f t="shared" si="535"/>
        <v>0</v>
      </c>
      <c r="W812" s="28">
        <v>533</v>
      </c>
      <c r="X812" s="105">
        <v>1.35</v>
      </c>
      <c r="Y812" s="105">
        <v>8.99</v>
      </c>
      <c r="Z812" s="73" t="s">
        <v>499</v>
      </c>
      <c r="AA812" s="28">
        <v>800</v>
      </c>
    </row>
    <row r="813" spans="1:27" x14ac:dyDescent="0.25">
      <c r="A813" s="4"/>
      <c r="B813" s="98" t="s">
        <v>396</v>
      </c>
      <c r="C813" s="75" t="s">
        <v>397</v>
      </c>
      <c r="D813" s="75" t="s">
        <v>377</v>
      </c>
      <c r="E813" s="28">
        <f t="shared" si="525"/>
        <v>92154</v>
      </c>
      <c r="F813" s="143" t="str">
        <f>INDEX(PV_Summary!$B$18:$B$118,MATCH($E813,PV_Summary!$A$18:$A$118,0))</f>
        <v>S</v>
      </c>
      <c r="G813" s="123">
        <v>32.555858999999998</v>
      </c>
      <c r="H813" s="61">
        <v>-116.98177699999999</v>
      </c>
      <c r="I813" s="44" t="s">
        <v>3</v>
      </c>
      <c r="J813" s="46">
        <f t="shared" si="533"/>
        <v>0.75</v>
      </c>
      <c r="K813" s="100"/>
      <c r="L813" s="44" t="str">
        <f t="shared" si="523"/>
        <v/>
      </c>
      <c r="M813" s="46">
        <f t="shared" si="534"/>
        <v>0.75</v>
      </c>
      <c r="N813" s="46"/>
      <c r="O813" s="41">
        <f t="shared" si="536"/>
        <v>0</v>
      </c>
      <c r="P813" s="42">
        <v>126000</v>
      </c>
      <c r="Q813" s="44" t="s">
        <v>3</v>
      </c>
      <c r="R813" s="28" t="s">
        <v>57</v>
      </c>
      <c r="S813" s="48">
        <f t="shared" si="527"/>
        <v>630000</v>
      </c>
      <c r="T813" s="48">
        <f t="shared" si="535"/>
        <v>0</v>
      </c>
      <c r="W813" s="28">
        <v>533</v>
      </c>
      <c r="X813" s="105">
        <v>1.35</v>
      </c>
      <c r="Y813" s="105">
        <v>8.99</v>
      </c>
      <c r="Z813" s="73" t="s">
        <v>499</v>
      </c>
      <c r="AA813" s="28">
        <v>400</v>
      </c>
    </row>
    <row r="814" spans="1:27" x14ac:dyDescent="0.25">
      <c r="A814" s="4"/>
      <c r="B814" s="62" t="s">
        <v>398</v>
      </c>
      <c r="C814" s="75" t="s">
        <v>407</v>
      </c>
      <c r="D814" s="75" t="s">
        <v>377</v>
      </c>
      <c r="E814" s="28">
        <f t="shared" si="525"/>
        <v>92154</v>
      </c>
      <c r="F814" s="143" t="str">
        <f>INDEX(PV_Summary!$B$18:$B$118,MATCH($E814,PV_Summary!$A$18:$A$118,0))</f>
        <v>S</v>
      </c>
      <c r="G814" s="123">
        <v>32.555168999999999</v>
      </c>
      <c r="H814" s="61">
        <v>-116.97836</v>
      </c>
      <c r="I814" s="44" t="s">
        <v>218</v>
      </c>
      <c r="J814" s="46">
        <f t="shared" ref="J814:J822" ca="1" si="537">IF(O814&gt;1,Sym_Scl_Aggr_Parent,IF(O814&lt;1,Sym_Scl_Aggr_Child,Sym_Scl_Normal))</f>
        <v>1.5</v>
      </c>
      <c r="K814" s="100"/>
      <c r="L814" s="44" t="str">
        <f t="shared" ca="1" si="523"/>
        <v>Total</v>
      </c>
      <c r="M814" s="46">
        <f t="shared" ref="M814:M822" ca="1" si="538">IF(O814&gt;1,Label_Scl_Aggr_Parent,IF(O814&lt;1,Label_Scl_Aggr_Child,Label_Scl_Normal))</f>
        <v>1.25</v>
      </c>
      <c r="N814" s="46"/>
      <c r="O814" s="41">
        <f t="shared" ca="1" si="536"/>
        <v>9</v>
      </c>
      <c r="Q814" s="44"/>
      <c r="S814" s="48">
        <f t="shared" si="527"/>
        <v>0</v>
      </c>
      <c r="T814" s="48">
        <f t="shared" ca="1" si="535"/>
        <v>1965500</v>
      </c>
      <c r="W814" s="28">
        <v>533</v>
      </c>
      <c r="X814" s="105">
        <v>1.35</v>
      </c>
      <c r="Y814" s="105">
        <v>8.99</v>
      </c>
      <c r="Z814" s="73" t="s">
        <v>499</v>
      </c>
      <c r="AA814" s="28"/>
    </row>
    <row r="815" spans="1:27" x14ac:dyDescent="0.25">
      <c r="A815" s="4"/>
      <c r="B815" s="98" t="s">
        <v>399</v>
      </c>
      <c r="C815" s="75" t="s">
        <v>407</v>
      </c>
      <c r="D815" s="75" t="s">
        <v>377</v>
      </c>
      <c r="E815" s="28">
        <f t="shared" si="525"/>
        <v>92154</v>
      </c>
      <c r="F815" s="143" t="str">
        <f>INDEX(PV_Summary!$B$18:$B$118,MATCH($E815,PV_Summary!$A$18:$A$118,0))</f>
        <v>S</v>
      </c>
      <c r="G815" s="123">
        <v>32.556154999999997</v>
      </c>
      <c r="H815" s="61">
        <v>-116.97905</v>
      </c>
      <c r="I815" s="44" t="s">
        <v>3</v>
      </c>
      <c r="J815" s="46">
        <f t="shared" si="537"/>
        <v>0.75</v>
      </c>
      <c r="K815" s="100"/>
      <c r="L815" s="44" t="str">
        <f t="shared" si="523"/>
        <v/>
      </c>
      <c r="M815" s="46">
        <f t="shared" si="538"/>
        <v>0.75</v>
      </c>
      <c r="N815" s="46"/>
      <c r="O815" s="41">
        <f t="shared" si="536"/>
        <v>0</v>
      </c>
      <c r="P815" s="42">
        <v>103000</v>
      </c>
      <c r="Q815" s="44" t="s">
        <v>381</v>
      </c>
      <c r="R815" s="28" t="s">
        <v>57</v>
      </c>
      <c r="S815" s="48">
        <f t="shared" si="527"/>
        <v>515000</v>
      </c>
      <c r="T815" s="48">
        <f t="shared" si="535"/>
        <v>0</v>
      </c>
      <c r="W815" s="28">
        <v>533</v>
      </c>
      <c r="X815" s="105">
        <v>1.35</v>
      </c>
      <c r="Y815" s="105">
        <v>8.99</v>
      </c>
      <c r="Z815" s="73" t="s">
        <v>499</v>
      </c>
      <c r="AA815" s="28">
        <v>150</v>
      </c>
    </row>
    <row r="816" spans="1:27" x14ac:dyDescent="0.25">
      <c r="A816" s="4"/>
      <c r="B816" s="98" t="s">
        <v>400</v>
      </c>
      <c r="C816" s="75" t="s">
        <v>407</v>
      </c>
      <c r="D816" s="75" t="s">
        <v>377</v>
      </c>
      <c r="E816" s="28">
        <f t="shared" si="525"/>
        <v>92154</v>
      </c>
      <c r="F816" s="143" t="str">
        <f>INDEX(PV_Summary!$B$18:$B$118,MATCH($E816,PV_Summary!$A$18:$A$118,0))</f>
        <v>S</v>
      </c>
      <c r="G816" s="123">
        <v>32.556173000000001</v>
      </c>
      <c r="H816" s="61">
        <v>-116.97773100000001</v>
      </c>
      <c r="I816" s="44" t="s">
        <v>3</v>
      </c>
      <c r="J816" s="46">
        <f t="shared" si="537"/>
        <v>0.75</v>
      </c>
      <c r="K816" s="100"/>
      <c r="L816" s="44" t="str">
        <f t="shared" si="523"/>
        <v/>
      </c>
      <c r="M816" s="46">
        <f t="shared" si="538"/>
        <v>0.75</v>
      </c>
      <c r="N816" s="46"/>
      <c r="O816" s="41">
        <f t="shared" si="536"/>
        <v>0</v>
      </c>
      <c r="P816" s="42">
        <v>99000</v>
      </c>
      <c r="Q816" s="44" t="s">
        <v>381</v>
      </c>
      <c r="R816" s="28" t="s">
        <v>57</v>
      </c>
      <c r="S816" s="48">
        <f t="shared" si="527"/>
        <v>495000</v>
      </c>
      <c r="T816" s="48">
        <f t="shared" si="535"/>
        <v>0</v>
      </c>
      <c r="W816" s="28">
        <v>533</v>
      </c>
      <c r="X816" s="105">
        <v>1.35</v>
      </c>
      <c r="Y816" s="105">
        <v>8.99</v>
      </c>
      <c r="Z816" s="73" t="s">
        <v>499</v>
      </c>
      <c r="AA816" s="28">
        <v>500</v>
      </c>
    </row>
    <row r="817" spans="1:27" x14ac:dyDescent="0.25">
      <c r="A817" s="4"/>
      <c r="B817" s="98" t="s">
        <v>401</v>
      </c>
      <c r="C817" s="75" t="s">
        <v>407</v>
      </c>
      <c r="D817" s="75" t="s">
        <v>377</v>
      </c>
      <c r="E817" s="28">
        <f t="shared" si="525"/>
        <v>92154</v>
      </c>
      <c r="F817" s="143" t="str">
        <f>INDEX(PV_Summary!$B$18:$B$118,MATCH($E817,PV_Summary!$A$18:$A$118,0))</f>
        <v>S</v>
      </c>
      <c r="G817" s="123">
        <v>32.556477999999998</v>
      </c>
      <c r="H817" s="61">
        <v>-116.976269</v>
      </c>
      <c r="I817" s="44" t="s">
        <v>3</v>
      </c>
      <c r="J817" s="46">
        <f t="shared" si="537"/>
        <v>0.75</v>
      </c>
      <c r="K817" s="100"/>
      <c r="L817" s="44" t="str">
        <f t="shared" si="523"/>
        <v/>
      </c>
      <c r="M817" s="46">
        <f t="shared" si="538"/>
        <v>0.75</v>
      </c>
      <c r="N817" s="46"/>
      <c r="O817" s="41">
        <f t="shared" si="536"/>
        <v>0</v>
      </c>
      <c r="P817" s="42">
        <v>45000</v>
      </c>
      <c r="Q817" s="44" t="s">
        <v>381</v>
      </c>
      <c r="R817" s="28" t="s">
        <v>57</v>
      </c>
      <c r="S817" s="48">
        <f t="shared" si="527"/>
        <v>225000</v>
      </c>
      <c r="T817" s="48">
        <f t="shared" si="535"/>
        <v>0</v>
      </c>
      <c r="W817" s="28">
        <v>533</v>
      </c>
      <c r="X817" s="105">
        <v>1.35</v>
      </c>
      <c r="Y817" s="105">
        <v>8.99</v>
      </c>
      <c r="Z817" s="73" t="s">
        <v>499</v>
      </c>
      <c r="AA817" s="28">
        <v>900</v>
      </c>
    </row>
    <row r="818" spans="1:27" x14ac:dyDescent="0.25">
      <c r="A818" s="4"/>
      <c r="B818" s="98" t="s">
        <v>402</v>
      </c>
      <c r="C818" s="75" t="s">
        <v>407</v>
      </c>
      <c r="D818" s="75" t="s">
        <v>377</v>
      </c>
      <c r="E818" s="28">
        <f t="shared" si="525"/>
        <v>92154</v>
      </c>
      <c r="F818" s="143" t="str">
        <f>INDEX(PV_Summary!$B$18:$B$118,MATCH($E818,PV_Summary!$A$18:$A$118,0))</f>
        <v>S</v>
      </c>
      <c r="G818" s="123">
        <v>32.554642999999999</v>
      </c>
      <c r="H818" s="61">
        <v>-116.979387</v>
      </c>
      <c r="I818" s="44" t="s">
        <v>3</v>
      </c>
      <c r="J818" s="46">
        <f t="shared" si="537"/>
        <v>0.75</v>
      </c>
      <c r="K818" s="100"/>
      <c r="L818" s="44" t="str">
        <f t="shared" si="523"/>
        <v/>
      </c>
      <c r="M818" s="46">
        <f t="shared" si="538"/>
        <v>0.75</v>
      </c>
      <c r="N818" s="46"/>
      <c r="O818" s="41">
        <f t="shared" si="536"/>
        <v>0</v>
      </c>
      <c r="P818" s="42">
        <v>21200</v>
      </c>
      <c r="Q818" s="44" t="s">
        <v>381</v>
      </c>
      <c r="R818" s="28" t="s">
        <v>57</v>
      </c>
      <c r="S818" s="48">
        <f t="shared" si="527"/>
        <v>106000</v>
      </c>
      <c r="T818" s="48">
        <f t="shared" si="535"/>
        <v>0</v>
      </c>
      <c r="W818" s="28">
        <v>533</v>
      </c>
      <c r="X818" s="105">
        <v>1.35</v>
      </c>
      <c r="Y818" s="105">
        <v>8.99</v>
      </c>
      <c r="Z818" s="73" t="s">
        <v>499</v>
      </c>
      <c r="AA818" s="28">
        <v>50</v>
      </c>
    </row>
    <row r="819" spans="1:27" x14ac:dyDescent="0.25">
      <c r="A819" s="4"/>
      <c r="B819" s="98" t="s">
        <v>403</v>
      </c>
      <c r="C819" s="75" t="s">
        <v>407</v>
      </c>
      <c r="D819" s="75" t="s">
        <v>377</v>
      </c>
      <c r="E819" s="28">
        <f t="shared" si="525"/>
        <v>92154</v>
      </c>
      <c r="F819" s="143" t="str">
        <f>INDEX(PV_Summary!$B$18:$B$118,MATCH($E819,PV_Summary!$A$18:$A$118,0))</f>
        <v>S</v>
      </c>
      <c r="G819" s="123">
        <v>32.554678000000003</v>
      </c>
      <c r="H819" s="61">
        <v>-116.97856899999999</v>
      </c>
      <c r="I819" s="44" t="s">
        <v>3</v>
      </c>
      <c r="J819" s="46">
        <f t="shared" si="537"/>
        <v>0.75</v>
      </c>
      <c r="K819" s="100"/>
      <c r="L819" s="44" t="str">
        <f t="shared" si="523"/>
        <v/>
      </c>
      <c r="M819" s="46">
        <f t="shared" si="538"/>
        <v>0.75</v>
      </c>
      <c r="N819" s="46"/>
      <c r="O819" s="41">
        <f t="shared" si="536"/>
        <v>0</v>
      </c>
      <c r="P819" s="42">
        <v>27400</v>
      </c>
      <c r="Q819" s="44" t="s">
        <v>381</v>
      </c>
      <c r="R819" s="28" t="s">
        <v>57</v>
      </c>
      <c r="S819" s="48">
        <f t="shared" si="527"/>
        <v>137000</v>
      </c>
      <c r="T819" s="48">
        <f t="shared" si="535"/>
        <v>0</v>
      </c>
      <c r="W819" s="28">
        <v>533</v>
      </c>
      <c r="X819" s="105">
        <v>1.35</v>
      </c>
      <c r="Y819" s="105">
        <v>8.99</v>
      </c>
      <c r="Z819" s="73" t="s">
        <v>499</v>
      </c>
      <c r="AA819" s="28">
        <v>300</v>
      </c>
    </row>
    <row r="820" spans="1:27" x14ac:dyDescent="0.25">
      <c r="A820" s="4"/>
      <c r="B820" s="98" t="s">
        <v>404</v>
      </c>
      <c r="C820" s="75" t="s">
        <v>407</v>
      </c>
      <c r="D820" s="75" t="s">
        <v>377</v>
      </c>
      <c r="E820" s="28">
        <f t="shared" si="525"/>
        <v>92154</v>
      </c>
      <c r="F820" s="143" t="str">
        <f>INDEX(PV_Summary!$B$18:$B$118,MATCH($E820,PV_Summary!$A$18:$A$118,0))</f>
        <v>S</v>
      </c>
      <c r="G820" s="123">
        <v>32.554698999999999</v>
      </c>
      <c r="H820" s="61">
        <v>-116.97773100000001</v>
      </c>
      <c r="I820" s="44" t="s">
        <v>3</v>
      </c>
      <c r="J820" s="46">
        <f t="shared" si="537"/>
        <v>0.75</v>
      </c>
      <c r="K820" s="100"/>
      <c r="L820" s="44" t="str">
        <f t="shared" si="523"/>
        <v/>
      </c>
      <c r="M820" s="46">
        <f t="shared" si="538"/>
        <v>0.75</v>
      </c>
      <c r="N820" s="46"/>
      <c r="O820" s="41">
        <f t="shared" si="536"/>
        <v>0</v>
      </c>
      <c r="P820" s="42">
        <v>32000</v>
      </c>
      <c r="Q820" s="44" t="s">
        <v>381</v>
      </c>
      <c r="R820" s="28" t="s">
        <v>57</v>
      </c>
      <c r="S820" s="48">
        <f t="shared" si="527"/>
        <v>160000</v>
      </c>
      <c r="T820" s="48">
        <f t="shared" si="535"/>
        <v>0</v>
      </c>
      <c r="W820" s="28">
        <v>533</v>
      </c>
      <c r="X820" s="105">
        <v>1.35</v>
      </c>
      <c r="Y820" s="105">
        <v>8.99</v>
      </c>
      <c r="Z820" s="73" t="s">
        <v>499</v>
      </c>
      <c r="AA820" s="28">
        <v>500</v>
      </c>
    </row>
    <row r="821" spans="1:27" x14ac:dyDescent="0.25">
      <c r="A821" s="4"/>
      <c r="B821" s="98" t="s">
        <v>405</v>
      </c>
      <c r="C821" s="75" t="s">
        <v>407</v>
      </c>
      <c r="D821" s="75" t="s">
        <v>377</v>
      </c>
      <c r="E821" s="28">
        <f t="shared" si="525"/>
        <v>92154</v>
      </c>
      <c r="F821" s="143" t="str">
        <f>INDEX(PV_Summary!$B$18:$B$118,MATCH($E821,PV_Summary!$A$18:$A$118,0))</f>
        <v>S</v>
      </c>
      <c r="G821" s="123">
        <v>32.553854999999999</v>
      </c>
      <c r="H821" s="61">
        <v>-116.979009</v>
      </c>
      <c r="I821" s="44" t="s">
        <v>3</v>
      </c>
      <c r="J821" s="46">
        <f t="shared" si="537"/>
        <v>0.75</v>
      </c>
      <c r="K821" s="100"/>
      <c r="L821" s="44" t="str">
        <f t="shared" si="523"/>
        <v/>
      </c>
      <c r="M821" s="46">
        <f t="shared" si="538"/>
        <v>0.75</v>
      </c>
      <c r="N821" s="46"/>
      <c r="O821" s="41">
        <f t="shared" si="536"/>
        <v>0</v>
      </c>
      <c r="P821" s="42">
        <v>31500</v>
      </c>
      <c r="Q821" s="44" t="s">
        <v>381</v>
      </c>
      <c r="R821" s="28" t="s">
        <v>57</v>
      </c>
      <c r="S821" s="48">
        <f t="shared" si="527"/>
        <v>157500</v>
      </c>
      <c r="T821" s="48">
        <f t="shared" si="535"/>
        <v>0</v>
      </c>
      <c r="W821" s="28">
        <v>533</v>
      </c>
      <c r="X821" s="105">
        <v>1.35</v>
      </c>
      <c r="Y821" s="105">
        <v>8.99</v>
      </c>
      <c r="Z821" s="73" t="s">
        <v>499</v>
      </c>
      <c r="AA821" s="28">
        <v>100</v>
      </c>
    </row>
    <row r="822" spans="1:27" x14ac:dyDescent="0.25">
      <c r="A822" s="4"/>
      <c r="B822" s="98" t="s">
        <v>406</v>
      </c>
      <c r="C822" s="75" t="s">
        <v>407</v>
      </c>
      <c r="D822" s="75" t="s">
        <v>377</v>
      </c>
      <c r="E822" s="28">
        <f t="shared" si="525"/>
        <v>92154</v>
      </c>
      <c r="F822" s="143" t="str">
        <f>INDEX(PV_Summary!$B$18:$B$118,MATCH($E822,PV_Summary!$A$18:$A$118,0))</f>
        <v>S</v>
      </c>
      <c r="G822" s="123">
        <v>32.553888999999998</v>
      </c>
      <c r="H822" s="61">
        <v>-116.97784299999999</v>
      </c>
      <c r="I822" s="44" t="s">
        <v>3</v>
      </c>
      <c r="J822" s="46">
        <f t="shared" si="537"/>
        <v>0.75</v>
      </c>
      <c r="K822" s="100"/>
      <c r="L822" s="44" t="str">
        <f t="shared" si="523"/>
        <v/>
      </c>
      <c r="M822" s="46">
        <f t="shared" si="538"/>
        <v>0.75</v>
      </c>
      <c r="N822" s="46"/>
      <c r="O822" s="41">
        <f t="shared" si="536"/>
        <v>0</v>
      </c>
      <c r="P822" s="42">
        <v>34000</v>
      </c>
      <c r="Q822" s="44" t="s">
        <v>381</v>
      </c>
      <c r="R822" s="28" t="s">
        <v>57</v>
      </c>
      <c r="S822" s="48">
        <f t="shared" si="527"/>
        <v>170000</v>
      </c>
      <c r="T822" s="48">
        <f t="shared" si="535"/>
        <v>0</v>
      </c>
      <c r="W822" s="28">
        <v>533</v>
      </c>
      <c r="X822" s="105">
        <v>1.35</v>
      </c>
      <c r="Y822" s="105">
        <v>8.99</v>
      </c>
      <c r="Z822" s="73" t="s">
        <v>499</v>
      </c>
      <c r="AA822" s="28">
        <v>400</v>
      </c>
    </row>
    <row r="823" spans="1:27" x14ac:dyDescent="0.25">
      <c r="A823" s="4"/>
      <c r="B823" s="62" t="s">
        <v>410</v>
      </c>
      <c r="C823" s="75" t="s">
        <v>416</v>
      </c>
      <c r="D823" s="75" t="s">
        <v>377</v>
      </c>
      <c r="E823" s="28">
        <f t="shared" si="525"/>
        <v>92154</v>
      </c>
      <c r="F823" s="143" t="str">
        <f>INDEX(PV_Summary!$B$18:$B$118,MATCH($E823,PV_Summary!$A$18:$A$118,0))</f>
        <v>S</v>
      </c>
      <c r="G823" s="123">
        <v>32.561895999999997</v>
      </c>
      <c r="H823" s="61">
        <v>-116.955956</v>
      </c>
      <c r="I823" s="44" t="s">
        <v>37</v>
      </c>
      <c r="J823" s="46">
        <f t="shared" ref="J823:J834" ca="1" si="539">IF(O823&gt;1,Sym_Scl_Aggr_Parent,IF(O823&lt;1,Sym_Scl_Aggr_Child,Sym_Scl_Normal))</f>
        <v>1</v>
      </c>
      <c r="K823" s="100"/>
      <c r="L823" s="44" t="str">
        <f t="shared" ca="1" si="523"/>
        <v/>
      </c>
      <c r="M823" s="46">
        <f t="shared" ref="M823:M834" ca="1" si="540">IF(O823&gt;1,Label_Scl_Aggr_Parent,IF(O823&lt;1,Label_Scl_Aggr_Child,Label_Scl_Normal))</f>
        <v>1</v>
      </c>
      <c r="N823" s="46"/>
      <c r="O823" s="41">
        <f t="shared" ca="1" si="536"/>
        <v>1</v>
      </c>
      <c r="P823" s="42">
        <v>596000</v>
      </c>
      <c r="Q823" s="44" t="s">
        <v>37</v>
      </c>
      <c r="R823" s="28" t="s">
        <v>56</v>
      </c>
      <c r="S823" s="48">
        <f t="shared" si="527"/>
        <v>3576000</v>
      </c>
      <c r="T823" s="48">
        <f t="shared" ca="1" si="535"/>
        <v>3576000</v>
      </c>
      <c r="W823" s="28">
        <v>533</v>
      </c>
      <c r="X823" s="105">
        <v>1.35</v>
      </c>
      <c r="Y823" s="105">
        <v>8.99</v>
      </c>
      <c r="Z823" s="73" t="s">
        <v>499</v>
      </c>
      <c r="AA823" s="28">
        <v>100</v>
      </c>
    </row>
    <row r="824" spans="1:27" x14ac:dyDescent="0.25">
      <c r="A824" s="4"/>
      <c r="B824" s="62" t="s">
        <v>408</v>
      </c>
      <c r="C824" s="75" t="s">
        <v>409</v>
      </c>
      <c r="D824" s="75" t="s">
        <v>377</v>
      </c>
      <c r="E824" s="28">
        <f t="shared" si="525"/>
        <v>92154</v>
      </c>
      <c r="F824" s="143" t="str">
        <f>INDEX(PV_Summary!$B$18:$B$118,MATCH($E824,PV_Summary!$A$18:$A$118,0))</f>
        <v>S</v>
      </c>
      <c r="G824" s="123">
        <v>32.561880000000002</v>
      </c>
      <c r="H824" s="61">
        <v>-116.951644</v>
      </c>
      <c r="I824" s="44" t="s">
        <v>218</v>
      </c>
      <c r="J824" s="46">
        <f t="shared" ca="1" si="539"/>
        <v>1.5</v>
      </c>
      <c r="K824" s="100"/>
      <c r="L824" s="44" t="str">
        <f t="shared" ca="1" si="523"/>
        <v>Total</v>
      </c>
      <c r="M824" s="46">
        <f t="shared" ca="1" si="540"/>
        <v>1.25</v>
      </c>
      <c r="N824" s="46"/>
      <c r="O824" s="41">
        <f t="shared" ca="1" si="536"/>
        <v>6</v>
      </c>
      <c r="Q824" s="44"/>
      <c r="S824" s="48">
        <f t="shared" si="527"/>
        <v>0</v>
      </c>
      <c r="T824" s="48">
        <f t="shared" ca="1" si="535"/>
        <v>3978500</v>
      </c>
      <c r="W824" s="28">
        <v>533</v>
      </c>
      <c r="X824" s="105">
        <v>1.35</v>
      </c>
      <c r="Y824" s="105">
        <v>8.99</v>
      </c>
      <c r="Z824" s="73" t="s">
        <v>499</v>
      </c>
      <c r="AA824" s="28"/>
    </row>
    <row r="825" spans="1:27" x14ac:dyDescent="0.25">
      <c r="A825" s="4"/>
      <c r="B825" s="98" t="s">
        <v>411</v>
      </c>
      <c r="C825" s="75" t="s">
        <v>409</v>
      </c>
      <c r="D825" s="75" t="s">
        <v>377</v>
      </c>
      <c r="E825" s="28">
        <f t="shared" si="525"/>
        <v>92154</v>
      </c>
      <c r="F825" s="143" t="str">
        <f>INDEX(PV_Summary!$B$18:$B$118,MATCH($E825,PV_Summary!$A$18:$A$118,0))</f>
        <v>S</v>
      </c>
      <c r="G825" s="123">
        <v>32.562609999999999</v>
      </c>
      <c r="H825" s="61">
        <v>-116.952535</v>
      </c>
      <c r="I825" s="44" t="s">
        <v>3</v>
      </c>
      <c r="J825" s="46">
        <f t="shared" si="539"/>
        <v>0.75</v>
      </c>
      <c r="K825" s="100"/>
      <c r="L825" s="44" t="str">
        <f t="shared" si="523"/>
        <v/>
      </c>
      <c r="M825" s="46">
        <f t="shared" si="540"/>
        <v>0.75</v>
      </c>
      <c r="N825" s="46"/>
      <c r="O825" s="41">
        <f t="shared" si="536"/>
        <v>0</v>
      </c>
      <c r="P825" s="42">
        <v>225800</v>
      </c>
      <c r="Q825" s="44" t="s">
        <v>3</v>
      </c>
      <c r="R825" s="28" t="s">
        <v>57</v>
      </c>
      <c r="S825" s="48">
        <f t="shared" si="527"/>
        <v>1129000</v>
      </c>
      <c r="T825" s="48">
        <f t="shared" si="535"/>
        <v>0</v>
      </c>
      <c r="W825" s="28">
        <v>533</v>
      </c>
      <c r="X825" s="105">
        <v>1.35</v>
      </c>
      <c r="Y825" s="105">
        <v>8.99</v>
      </c>
      <c r="Z825" s="73" t="s">
        <v>499</v>
      </c>
      <c r="AA825" s="28">
        <v>100</v>
      </c>
    </row>
    <row r="826" spans="1:27" x14ac:dyDescent="0.25">
      <c r="A826" s="4"/>
      <c r="B826" s="98" t="s">
        <v>412</v>
      </c>
      <c r="C826" s="75" t="s">
        <v>409</v>
      </c>
      <c r="D826" s="75" t="s">
        <v>377</v>
      </c>
      <c r="E826" s="28">
        <f t="shared" si="525"/>
        <v>92154</v>
      </c>
      <c r="F826" s="143" t="str">
        <f>INDEX(PV_Summary!$B$18:$B$118,MATCH($E826,PV_Summary!$A$18:$A$118,0))</f>
        <v>S</v>
      </c>
      <c r="G826" s="123">
        <v>32.562511000000001</v>
      </c>
      <c r="H826" s="61">
        <v>-116.950778</v>
      </c>
      <c r="I826" s="44" t="s">
        <v>3</v>
      </c>
      <c r="J826" s="46">
        <f t="shared" si="539"/>
        <v>0.75</v>
      </c>
      <c r="K826" s="100"/>
      <c r="L826" s="44" t="str">
        <f t="shared" si="523"/>
        <v/>
      </c>
      <c r="M826" s="46">
        <f t="shared" si="540"/>
        <v>0.75</v>
      </c>
      <c r="N826" s="46"/>
      <c r="O826" s="41">
        <f t="shared" si="536"/>
        <v>0</v>
      </c>
      <c r="P826" s="42">
        <v>167900</v>
      </c>
      <c r="Q826" s="44" t="s">
        <v>3</v>
      </c>
      <c r="R826" s="28" t="s">
        <v>57</v>
      </c>
      <c r="S826" s="48">
        <f t="shared" si="527"/>
        <v>839500</v>
      </c>
      <c r="T826" s="48">
        <f t="shared" si="535"/>
        <v>0</v>
      </c>
      <c r="W826" s="28">
        <v>533</v>
      </c>
      <c r="X826" s="105">
        <v>1.35</v>
      </c>
      <c r="Y826" s="105">
        <v>8.99</v>
      </c>
      <c r="Z826" s="73" t="s">
        <v>499</v>
      </c>
      <c r="AA826" s="28">
        <v>650</v>
      </c>
    </row>
    <row r="827" spans="1:27" x14ac:dyDescent="0.25">
      <c r="A827" s="4"/>
      <c r="B827" s="98" t="s">
        <v>413</v>
      </c>
      <c r="C827" s="75" t="s">
        <v>409</v>
      </c>
      <c r="D827" s="75" t="s">
        <v>377</v>
      </c>
      <c r="E827" s="28">
        <f t="shared" si="525"/>
        <v>92154</v>
      </c>
      <c r="F827" s="143" t="str">
        <f>INDEX(PV_Summary!$B$18:$B$118,MATCH($E827,PV_Summary!$A$18:$A$118,0))</f>
        <v>S</v>
      </c>
      <c r="G827" s="123">
        <v>32.561475999999999</v>
      </c>
      <c r="H827" s="61">
        <v>-116.952946</v>
      </c>
      <c r="I827" s="44" t="s">
        <v>3</v>
      </c>
      <c r="J827" s="46">
        <f t="shared" si="539"/>
        <v>0.75</v>
      </c>
      <c r="K827" s="100"/>
      <c r="L827" s="44" t="str">
        <f t="shared" ref="L827:L884" si="541">IF(O827&gt;1,"Total","")</f>
        <v/>
      </c>
      <c r="M827" s="46">
        <f t="shared" si="540"/>
        <v>0.75</v>
      </c>
      <c r="N827" s="46"/>
      <c r="O827" s="41">
        <f t="shared" si="536"/>
        <v>0</v>
      </c>
      <c r="P827" s="42">
        <v>183500</v>
      </c>
      <c r="Q827" s="44" t="s">
        <v>3</v>
      </c>
      <c r="R827" s="28" t="s">
        <v>57</v>
      </c>
      <c r="S827" s="48">
        <f t="shared" si="527"/>
        <v>917500</v>
      </c>
      <c r="T827" s="48">
        <f t="shared" si="535"/>
        <v>0</v>
      </c>
      <c r="W827" s="28">
        <v>533</v>
      </c>
      <c r="X827" s="105">
        <v>1.35</v>
      </c>
      <c r="Y827" s="105">
        <v>8.99</v>
      </c>
      <c r="Z827" s="73" t="s">
        <v>499</v>
      </c>
      <c r="AA827" s="28">
        <v>100</v>
      </c>
    </row>
    <row r="828" spans="1:27" x14ac:dyDescent="0.25">
      <c r="A828" s="4"/>
      <c r="B828" s="98" t="s">
        <v>414</v>
      </c>
      <c r="C828" s="75" t="s">
        <v>409</v>
      </c>
      <c r="D828" s="75" t="s">
        <v>377</v>
      </c>
      <c r="E828" s="28">
        <f t="shared" ref="E828:E884" si="542">RIGHT(TRIM(D828),5)*1</f>
        <v>92154</v>
      </c>
      <c r="F828" s="143" t="str">
        <f>INDEX(PV_Summary!$B$18:$B$118,MATCH($E828,PV_Summary!$A$18:$A$118,0))</f>
        <v>S</v>
      </c>
      <c r="G828" s="123">
        <v>32.561360999999998</v>
      </c>
      <c r="H828" s="61">
        <v>-116.9516</v>
      </c>
      <c r="I828" s="44" t="s">
        <v>3</v>
      </c>
      <c r="J828" s="46">
        <f t="shared" si="539"/>
        <v>0.75</v>
      </c>
      <c r="K828" s="100"/>
      <c r="L828" s="44" t="str">
        <f t="shared" si="541"/>
        <v/>
      </c>
      <c r="M828" s="46">
        <f t="shared" si="540"/>
        <v>0.75</v>
      </c>
      <c r="N828" s="46"/>
      <c r="O828" s="41">
        <f t="shared" si="536"/>
        <v>0</v>
      </c>
      <c r="P828" s="42">
        <v>152600</v>
      </c>
      <c r="Q828" s="44" t="s">
        <v>3</v>
      </c>
      <c r="R828" s="28" t="s">
        <v>57</v>
      </c>
      <c r="S828" s="48">
        <f t="shared" si="527"/>
        <v>763000</v>
      </c>
      <c r="T828" s="48">
        <f t="shared" si="535"/>
        <v>0</v>
      </c>
      <c r="W828" s="28">
        <v>533</v>
      </c>
      <c r="X828" s="105">
        <v>1.35</v>
      </c>
      <c r="Y828" s="105">
        <v>8.99</v>
      </c>
      <c r="Z828" s="73" t="s">
        <v>499</v>
      </c>
      <c r="AA828" s="28">
        <v>150</v>
      </c>
    </row>
    <row r="829" spans="1:27" x14ac:dyDescent="0.25">
      <c r="A829" s="4"/>
      <c r="B829" s="98" t="s">
        <v>415</v>
      </c>
      <c r="C829" s="75" t="s">
        <v>409</v>
      </c>
      <c r="D829" s="75" t="s">
        <v>377</v>
      </c>
      <c r="E829" s="28">
        <f t="shared" si="542"/>
        <v>92154</v>
      </c>
      <c r="F829" s="143" t="str">
        <f>INDEX(PV_Summary!$B$18:$B$118,MATCH($E829,PV_Summary!$A$18:$A$118,0))</f>
        <v>S</v>
      </c>
      <c r="G829" s="123">
        <v>32.561061000000002</v>
      </c>
      <c r="H829" s="61">
        <v>-116.950497</v>
      </c>
      <c r="I829" s="44" t="s">
        <v>3</v>
      </c>
      <c r="J829" s="46">
        <f t="shared" si="539"/>
        <v>0.75</v>
      </c>
      <c r="K829" s="100"/>
      <c r="L829" s="44" t="str">
        <f t="shared" si="541"/>
        <v/>
      </c>
      <c r="M829" s="46">
        <f t="shared" si="540"/>
        <v>0.75</v>
      </c>
      <c r="N829" s="46"/>
      <c r="O829" s="41">
        <f t="shared" si="536"/>
        <v>0</v>
      </c>
      <c r="P829" s="42">
        <v>65900</v>
      </c>
      <c r="Q829" s="44" t="s">
        <v>3</v>
      </c>
      <c r="R829" s="28" t="s">
        <v>57</v>
      </c>
      <c r="S829" s="48">
        <f t="shared" si="527"/>
        <v>329500</v>
      </c>
      <c r="T829" s="48">
        <f t="shared" si="535"/>
        <v>0</v>
      </c>
      <c r="W829" s="28">
        <v>533</v>
      </c>
      <c r="X829" s="105">
        <v>1.35</v>
      </c>
      <c r="Y829" s="105">
        <v>8.99</v>
      </c>
      <c r="Z829" s="73" t="s">
        <v>499</v>
      </c>
      <c r="AA829" s="28">
        <v>150</v>
      </c>
    </row>
    <row r="830" spans="1:27" x14ac:dyDescent="0.25">
      <c r="A830" s="4"/>
      <c r="B830" s="62" t="s">
        <v>417</v>
      </c>
      <c r="C830" s="75" t="s">
        <v>422</v>
      </c>
      <c r="D830" s="75" t="s">
        <v>377</v>
      </c>
      <c r="E830" s="28">
        <f t="shared" si="542"/>
        <v>92154</v>
      </c>
      <c r="F830" s="143" t="str">
        <f>INDEX(PV_Summary!$B$18:$B$118,MATCH($E830,PV_Summary!$A$18:$A$118,0))</f>
        <v>S</v>
      </c>
      <c r="G830" s="123">
        <v>32.559646999999998</v>
      </c>
      <c r="H830" s="61">
        <v>-116.97260300000001</v>
      </c>
      <c r="I830" s="44" t="s">
        <v>218</v>
      </c>
      <c r="J830" s="46">
        <f t="shared" ca="1" si="539"/>
        <v>1.5</v>
      </c>
      <c r="K830" s="100"/>
      <c r="L830" s="44" t="str">
        <f t="shared" ca="1" si="541"/>
        <v>Total</v>
      </c>
      <c r="M830" s="46">
        <f t="shared" ca="1" si="540"/>
        <v>1.25</v>
      </c>
      <c r="N830" s="46"/>
      <c r="O830" s="41">
        <f t="shared" ca="1" si="536"/>
        <v>5</v>
      </c>
      <c r="Q830" s="44"/>
      <c r="S830" s="48">
        <f t="shared" si="527"/>
        <v>0</v>
      </c>
      <c r="T830" s="48">
        <f t="shared" ca="1" si="535"/>
        <v>8295000</v>
      </c>
      <c r="W830" s="28">
        <v>533</v>
      </c>
      <c r="X830" s="105">
        <v>1.35</v>
      </c>
      <c r="Y830" s="105">
        <v>8.99</v>
      </c>
      <c r="Z830" s="73" t="s">
        <v>499</v>
      </c>
      <c r="AA830" s="28"/>
    </row>
    <row r="831" spans="1:27" x14ac:dyDescent="0.25">
      <c r="A831" s="4"/>
      <c r="B831" s="98" t="s">
        <v>418</v>
      </c>
      <c r="C831" s="75" t="s">
        <v>422</v>
      </c>
      <c r="D831" s="75" t="s">
        <v>377</v>
      </c>
      <c r="E831" s="28">
        <f t="shared" si="542"/>
        <v>92154</v>
      </c>
      <c r="F831" s="143" t="str">
        <f>INDEX(PV_Summary!$B$18:$B$118,MATCH($E831,PV_Summary!$A$18:$A$118,0))</f>
        <v>S</v>
      </c>
      <c r="G831" s="123">
        <v>32.560104000000003</v>
      </c>
      <c r="H831" s="61">
        <v>-116.972731</v>
      </c>
      <c r="I831" s="44" t="s">
        <v>3</v>
      </c>
      <c r="J831" s="46">
        <f t="shared" si="539"/>
        <v>0.75</v>
      </c>
      <c r="K831" s="100"/>
      <c r="L831" s="44" t="str">
        <f t="shared" si="541"/>
        <v/>
      </c>
      <c r="M831" s="46">
        <f t="shared" si="540"/>
        <v>0.75</v>
      </c>
      <c r="N831" s="46"/>
      <c r="O831" s="41">
        <f t="shared" si="536"/>
        <v>0</v>
      </c>
      <c r="P831" s="42">
        <v>33600</v>
      </c>
      <c r="Q831" s="44" t="s">
        <v>3</v>
      </c>
      <c r="R831" s="28" t="s">
        <v>57</v>
      </c>
      <c r="S831" s="48">
        <f t="shared" si="527"/>
        <v>168000</v>
      </c>
      <c r="T831" s="48">
        <f t="shared" si="535"/>
        <v>0</v>
      </c>
      <c r="W831" s="28">
        <v>533</v>
      </c>
      <c r="X831" s="105">
        <v>1.35</v>
      </c>
      <c r="Y831" s="105">
        <v>8.99</v>
      </c>
      <c r="Z831" s="73" t="s">
        <v>499</v>
      </c>
      <c r="AA831" s="28">
        <v>100</v>
      </c>
    </row>
    <row r="832" spans="1:27" x14ac:dyDescent="0.25">
      <c r="A832" s="4"/>
      <c r="B832" s="98" t="s">
        <v>419</v>
      </c>
      <c r="C832" s="75" t="s">
        <v>422</v>
      </c>
      <c r="D832" s="75" t="s">
        <v>377</v>
      </c>
      <c r="E832" s="28">
        <f t="shared" si="542"/>
        <v>92154</v>
      </c>
      <c r="F832" s="143" t="str">
        <f>INDEX(PV_Summary!$B$18:$B$118,MATCH($E832,PV_Summary!$A$18:$A$118,0))</f>
        <v>S</v>
      </c>
      <c r="G832" s="123">
        <v>32.560060999999997</v>
      </c>
      <c r="H832" s="61">
        <v>-116.971661</v>
      </c>
      <c r="I832" s="44" t="s">
        <v>3</v>
      </c>
      <c r="J832" s="46">
        <f t="shared" si="539"/>
        <v>0.75</v>
      </c>
      <c r="K832" s="100"/>
      <c r="L832" s="44" t="str">
        <f t="shared" si="541"/>
        <v/>
      </c>
      <c r="M832" s="46">
        <f t="shared" si="540"/>
        <v>0.75</v>
      </c>
      <c r="N832" s="46"/>
      <c r="O832" s="41">
        <f t="shared" si="536"/>
        <v>0</v>
      </c>
      <c r="P832" s="42">
        <v>36400</v>
      </c>
      <c r="Q832" s="44" t="s">
        <v>3</v>
      </c>
      <c r="R832" s="28" t="s">
        <v>57</v>
      </c>
      <c r="S832" s="48">
        <f t="shared" si="527"/>
        <v>182000</v>
      </c>
      <c r="T832" s="48">
        <f t="shared" si="535"/>
        <v>0</v>
      </c>
      <c r="W832" s="28">
        <v>533</v>
      </c>
      <c r="X832" s="105">
        <v>1.35</v>
      </c>
      <c r="Y832" s="105">
        <v>8.99</v>
      </c>
      <c r="Z832" s="73" t="s">
        <v>499</v>
      </c>
      <c r="AA832" s="28">
        <v>100</v>
      </c>
    </row>
    <row r="833" spans="1:27" x14ac:dyDescent="0.25">
      <c r="A833" s="4"/>
      <c r="B833" s="98" t="s">
        <v>420</v>
      </c>
      <c r="C833" s="75" t="s">
        <v>422</v>
      </c>
      <c r="D833" s="75" t="s">
        <v>377</v>
      </c>
      <c r="E833" s="28">
        <f t="shared" si="542"/>
        <v>92154</v>
      </c>
      <c r="F833" s="143" t="str">
        <f>INDEX(PV_Summary!$B$18:$B$118,MATCH($E833,PV_Summary!$A$18:$A$118,0))</f>
        <v>S</v>
      </c>
      <c r="G833" s="123">
        <v>32.556700999999997</v>
      </c>
      <c r="H833" s="61">
        <v>-116.972089</v>
      </c>
      <c r="I833" s="44" t="s">
        <v>3</v>
      </c>
      <c r="J833" s="46">
        <f t="shared" si="539"/>
        <v>0.75</v>
      </c>
      <c r="K833" s="100"/>
      <c r="L833" s="44" t="str">
        <f t="shared" si="541"/>
        <v/>
      </c>
      <c r="M833" s="46">
        <f t="shared" si="540"/>
        <v>0.75</v>
      </c>
      <c r="N833" s="46"/>
      <c r="O833" s="41">
        <f t="shared" si="536"/>
        <v>0</v>
      </c>
      <c r="P833" s="42">
        <v>987000</v>
      </c>
      <c r="Q833" s="44" t="s">
        <v>3</v>
      </c>
      <c r="R833" s="28" t="s">
        <v>57</v>
      </c>
      <c r="S833" s="48">
        <f t="shared" si="527"/>
        <v>4935000</v>
      </c>
      <c r="T833" s="48">
        <f t="shared" si="535"/>
        <v>0</v>
      </c>
      <c r="W833" s="28">
        <v>533</v>
      </c>
      <c r="X833" s="105">
        <v>1.35</v>
      </c>
      <c r="Y833" s="105">
        <v>8.99</v>
      </c>
      <c r="Z833" s="73" t="s">
        <v>499</v>
      </c>
      <c r="AA833" s="28">
        <v>200</v>
      </c>
    </row>
    <row r="834" spans="1:27" x14ac:dyDescent="0.25">
      <c r="A834" s="4"/>
      <c r="B834" s="98" t="s">
        <v>421</v>
      </c>
      <c r="C834" s="75" t="s">
        <v>422</v>
      </c>
      <c r="D834" s="75" t="s">
        <v>377</v>
      </c>
      <c r="E834" s="28">
        <f t="shared" si="542"/>
        <v>92154</v>
      </c>
      <c r="F834" s="143" t="str">
        <f>INDEX(PV_Summary!$B$18:$B$118,MATCH($E834,PV_Summary!$A$18:$A$118,0))</f>
        <v>S</v>
      </c>
      <c r="G834" s="123">
        <v>32.556123999999997</v>
      </c>
      <c r="H834" s="61">
        <v>-116.97038499999999</v>
      </c>
      <c r="I834" s="44" t="s">
        <v>3</v>
      </c>
      <c r="J834" s="46">
        <f t="shared" si="539"/>
        <v>0.75</v>
      </c>
      <c r="K834" s="100"/>
      <c r="L834" s="44" t="str">
        <f t="shared" si="541"/>
        <v/>
      </c>
      <c r="M834" s="46">
        <f t="shared" si="540"/>
        <v>0.75</v>
      </c>
      <c r="N834" s="46"/>
      <c r="O834" s="41">
        <f t="shared" si="536"/>
        <v>0</v>
      </c>
      <c r="P834" s="42">
        <v>602000</v>
      </c>
      <c r="Q834" s="44" t="s">
        <v>3</v>
      </c>
      <c r="R834" s="28" t="s">
        <v>57</v>
      </c>
      <c r="S834" s="48">
        <f t="shared" si="527"/>
        <v>3010000</v>
      </c>
      <c r="T834" s="48">
        <f t="shared" si="535"/>
        <v>0</v>
      </c>
      <c r="W834" s="28">
        <v>533</v>
      </c>
      <c r="X834" s="105">
        <v>1.35</v>
      </c>
      <c r="Y834" s="105">
        <v>8.99</v>
      </c>
      <c r="Z834" s="73" t="s">
        <v>499</v>
      </c>
      <c r="AA834" s="28">
        <v>200</v>
      </c>
    </row>
    <row r="835" spans="1:27" x14ac:dyDescent="0.25">
      <c r="A835" s="4"/>
      <c r="B835" s="62" t="s">
        <v>432</v>
      </c>
      <c r="C835" s="75" t="s">
        <v>423</v>
      </c>
      <c r="D835" s="75" t="s">
        <v>377</v>
      </c>
      <c r="E835" s="28">
        <f t="shared" si="542"/>
        <v>92154</v>
      </c>
      <c r="F835" s="143" t="str">
        <f>INDEX(PV_Summary!$B$18:$B$118,MATCH($E835,PV_Summary!$A$18:$A$118,0))</f>
        <v>S</v>
      </c>
      <c r="G835" s="123">
        <v>32.573113999999997</v>
      </c>
      <c r="H835" s="61">
        <v>-116.956864</v>
      </c>
      <c r="I835" s="44" t="s">
        <v>69</v>
      </c>
      <c r="J835" s="46">
        <f t="shared" ref="J835:J837" ca="1" si="543">IF(O835&gt;1,Sym_Scl_Aggr_Parent,IF(O835&lt;1,Sym_Scl_Aggr_Child,Sym_Scl_Normal))</f>
        <v>1.5</v>
      </c>
      <c r="K835" s="100"/>
      <c r="L835" s="44" t="str">
        <f t="shared" ca="1" si="541"/>
        <v>Total</v>
      </c>
      <c r="M835" s="46">
        <f t="shared" ref="M835:M837" ca="1" si="544">IF(O835&gt;1,Label_Scl_Aggr_Parent,IF(O835&lt;1,Label_Scl_Aggr_Child,Label_Scl_Normal))</f>
        <v>1.25</v>
      </c>
      <c r="N835" s="46"/>
      <c r="O835" s="41">
        <f t="shared" ca="1" si="536"/>
        <v>3</v>
      </c>
      <c r="Q835" s="44"/>
      <c r="S835" s="48">
        <f t="shared" si="527"/>
        <v>0</v>
      </c>
      <c r="T835" s="48">
        <f t="shared" ca="1" si="535"/>
        <v>1925400</v>
      </c>
      <c r="W835" s="28">
        <v>534</v>
      </c>
      <c r="X835" s="105">
        <v>1.03</v>
      </c>
      <c r="Y835" s="105">
        <v>6.87</v>
      </c>
      <c r="Z835" s="73" t="s">
        <v>499</v>
      </c>
      <c r="AA835" s="28"/>
    </row>
    <row r="836" spans="1:27" x14ac:dyDescent="0.25">
      <c r="A836" s="4"/>
      <c r="B836" s="98" t="s">
        <v>424</v>
      </c>
      <c r="C836" s="75" t="s">
        <v>423</v>
      </c>
      <c r="D836" s="75" t="s">
        <v>377</v>
      </c>
      <c r="E836" s="28">
        <f t="shared" si="542"/>
        <v>92154</v>
      </c>
      <c r="F836" s="143" t="str">
        <f>INDEX(PV_Summary!$B$18:$B$118,MATCH($E836,PV_Summary!$A$18:$A$118,0))</f>
        <v>S</v>
      </c>
      <c r="G836" s="123">
        <v>32.572310999999999</v>
      </c>
      <c r="H836" s="61">
        <v>-116.95678100000001</v>
      </c>
      <c r="I836" s="44" t="s">
        <v>3</v>
      </c>
      <c r="J836" s="46">
        <f t="shared" si="543"/>
        <v>0.75</v>
      </c>
      <c r="K836" s="100"/>
      <c r="L836" s="44" t="str">
        <f t="shared" si="541"/>
        <v/>
      </c>
      <c r="M836" s="46">
        <f t="shared" si="544"/>
        <v>0.75</v>
      </c>
      <c r="N836" s="46"/>
      <c r="O836" s="41">
        <f t="shared" si="536"/>
        <v>0</v>
      </c>
      <c r="P836" s="42">
        <v>148300</v>
      </c>
      <c r="Q836" s="44" t="s">
        <v>37</v>
      </c>
      <c r="R836" s="28" t="s">
        <v>56</v>
      </c>
      <c r="S836" s="48">
        <f t="shared" ref="S836:S884" si="545">IF(ISNUMBER(FIND("Existing",$Q836)),0,IF($P836=0,0,INDEX(PV_W_Type_Rating_Tbl,MATCH($Q836,PV_Type_List,0),MATCH($R836,Rating_List,0)+4*DC_AC_Num)*$P836))</f>
        <v>889800</v>
      </c>
      <c r="T836" s="48">
        <f t="shared" si="535"/>
        <v>0</v>
      </c>
      <c r="W836" s="28">
        <v>534</v>
      </c>
      <c r="X836" s="105">
        <v>1.03</v>
      </c>
      <c r="Y836" s="105">
        <v>6.87</v>
      </c>
      <c r="Z836" s="73" t="s">
        <v>499</v>
      </c>
      <c r="AA836" s="28">
        <v>850</v>
      </c>
    </row>
    <row r="837" spans="1:27" x14ac:dyDescent="0.25">
      <c r="A837" s="4"/>
      <c r="B837" s="98" t="s">
        <v>425</v>
      </c>
      <c r="C837" s="75" t="s">
        <v>423</v>
      </c>
      <c r="D837" s="75" t="s">
        <v>377</v>
      </c>
      <c r="E837" s="28">
        <f t="shared" si="542"/>
        <v>92154</v>
      </c>
      <c r="F837" s="143" t="str">
        <f>INDEX(PV_Summary!$B$18:$B$118,MATCH($E837,PV_Summary!$A$18:$A$118,0))</f>
        <v>S</v>
      </c>
      <c r="G837" s="123">
        <v>32.573993999999999</v>
      </c>
      <c r="H837" s="61">
        <v>-116.95672500000001</v>
      </c>
      <c r="I837" s="44" t="s">
        <v>3</v>
      </c>
      <c r="J837" s="46">
        <f t="shared" si="543"/>
        <v>0.75</v>
      </c>
      <c r="K837" s="100"/>
      <c r="L837" s="44" t="str">
        <f t="shared" si="541"/>
        <v/>
      </c>
      <c r="M837" s="46">
        <f t="shared" si="544"/>
        <v>0.75</v>
      </c>
      <c r="N837" s="46"/>
      <c r="O837" s="41">
        <f t="shared" si="536"/>
        <v>0</v>
      </c>
      <c r="P837" s="42">
        <v>172600</v>
      </c>
      <c r="Q837" s="44" t="s">
        <v>37</v>
      </c>
      <c r="R837" s="28" t="s">
        <v>56</v>
      </c>
      <c r="S837" s="48">
        <f t="shared" si="545"/>
        <v>1035600</v>
      </c>
      <c r="T837" s="48">
        <f t="shared" si="535"/>
        <v>0</v>
      </c>
      <c r="W837" s="28">
        <v>534</v>
      </c>
      <c r="X837" s="105">
        <v>1.03</v>
      </c>
      <c r="Y837" s="105">
        <v>6.87</v>
      </c>
      <c r="Z837" s="73" t="s">
        <v>499</v>
      </c>
      <c r="AA837" s="28">
        <v>850</v>
      </c>
    </row>
    <row r="838" spans="1:27" x14ac:dyDescent="0.25">
      <c r="A838" s="4"/>
      <c r="B838" s="62" t="s">
        <v>426</v>
      </c>
      <c r="C838" s="75" t="s">
        <v>429</v>
      </c>
      <c r="D838" s="75" t="s">
        <v>377</v>
      </c>
      <c r="E838" s="28">
        <f t="shared" si="542"/>
        <v>92154</v>
      </c>
      <c r="F838" s="143" t="str">
        <f>INDEX(PV_Summary!$B$18:$B$118,MATCH($E838,PV_Summary!$A$18:$A$118,0))</f>
        <v>S</v>
      </c>
      <c r="G838" s="123">
        <v>32.568998000000001</v>
      </c>
      <c r="H838" s="61">
        <v>-116.95692200000001</v>
      </c>
      <c r="I838" s="44" t="s">
        <v>69</v>
      </c>
      <c r="J838" s="46">
        <f t="shared" ref="J838:J848" ca="1" si="546">IF(O838&gt;1,Sym_Scl_Aggr_Parent,IF(O838&lt;1,Sym_Scl_Aggr_Child,Sym_Scl_Normal))</f>
        <v>1.5</v>
      </c>
      <c r="K838" s="100"/>
      <c r="L838" s="44" t="str">
        <f t="shared" ca="1" si="541"/>
        <v>Total</v>
      </c>
      <c r="M838" s="46">
        <f t="shared" ref="M838:M848" ca="1" si="547">IF(O838&gt;1,Label_Scl_Aggr_Parent,IF(O838&lt;1,Label_Scl_Aggr_Child,Label_Scl_Normal))</f>
        <v>1.25</v>
      </c>
      <c r="N838" s="46"/>
      <c r="O838" s="41">
        <f t="shared" ca="1" si="536"/>
        <v>3</v>
      </c>
      <c r="Q838" s="44"/>
      <c r="S838" s="48">
        <f t="shared" si="545"/>
        <v>0</v>
      </c>
      <c r="T838" s="48">
        <f t="shared" ref="T838:T869" ca="1" si="548">SUMIF($C:$C,$C838,$S:$S)*IF($O838&gt;=1,1,0)</f>
        <v>1281600</v>
      </c>
      <c r="W838" s="28">
        <v>534</v>
      </c>
      <c r="X838" s="105">
        <v>1.03</v>
      </c>
      <c r="Y838" s="105">
        <v>6.87</v>
      </c>
      <c r="Z838" s="73" t="s">
        <v>499</v>
      </c>
      <c r="AA838" s="28"/>
    </row>
    <row r="839" spans="1:27" x14ac:dyDescent="0.25">
      <c r="A839" s="4"/>
      <c r="B839" s="98" t="s">
        <v>427</v>
      </c>
      <c r="C839" s="75" t="s">
        <v>429</v>
      </c>
      <c r="D839" s="75" t="s">
        <v>377</v>
      </c>
      <c r="E839" s="28">
        <f t="shared" si="542"/>
        <v>92154</v>
      </c>
      <c r="F839" s="143" t="str">
        <f>INDEX(PV_Summary!$B$18:$B$118,MATCH($E839,PV_Summary!$A$18:$A$118,0))</f>
        <v>S</v>
      </c>
      <c r="G839" s="123">
        <v>32.568461999999997</v>
      </c>
      <c r="H839" s="61">
        <v>-116.956986</v>
      </c>
      <c r="I839" s="44" t="s">
        <v>37</v>
      </c>
      <c r="J839" s="46">
        <f t="shared" si="546"/>
        <v>0.75</v>
      </c>
      <c r="K839" s="100"/>
      <c r="L839" s="44" t="str">
        <f t="shared" si="541"/>
        <v/>
      </c>
      <c r="M839" s="46">
        <f t="shared" si="547"/>
        <v>0.75</v>
      </c>
      <c r="N839" s="46"/>
      <c r="O839" s="41">
        <f t="shared" si="536"/>
        <v>0</v>
      </c>
      <c r="P839" s="42">
        <v>98300</v>
      </c>
      <c r="Q839" s="44" t="s">
        <v>37</v>
      </c>
      <c r="R839" s="28" t="s">
        <v>56</v>
      </c>
      <c r="S839" s="48">
        <f t="shared" si="545"/>
        <v>589800</v>
      </c>
      <c r="T839" s="48">
        <f t="shared" si="548"/>
        <v>0</v>
      </c>
      <c r="W839" s="28">
        <v>534</v>
      </c>
      <c r="X839" s="105">
        <v>1.03</v>
      </c>
      <c r="Y839" s="105">
        <v>6.87</v>
      </c>
      <c r="Z839" s="73" t="s">
        <v>499</v>
      </c>
      <c r="AA839" s="28">
        <v>750</v>
      </c>
    </row>
    <row r="840" spans="1:27" x14ac:dyDescent="0.25">
      <c r="A840" s="4"/>
      <c r="B840" s="98" t="s">
        <v>428</v>
      </c>
      <c r="C840" s="75" t="s">
        <v>429</v>
      </c>
      <c r="D840" s="75" t="s">
        <v>377</v>
      </c>
      <c r="E840" s="28">
        <f t="shared" si="542"/>
        <v>92154</v>
      </c>
      <c r="F840" s="143" t="str">
        <f>INDEX(PV_Summary!$B$18:$B$118,MATCH($E840,PV_Summary!$A$18:$A$118,0))</f>
        <v>S</v>
      </c>
      <c r="G840" s="123">
        <v>32.569557000000003</v>
      </c>
      <c r="H840" s="61">
        <v>-116.956912</v>
      </c>
      <c r="I840" s="44" t="s">
        <v>37</v>
      </c>
      <c r="J840" s="46">
        <f t="shared" si="546"/>
        <v>0.75</v>
      </c>
      <c r="K840" s="100"/>
      <c r="L840" s="44" t="str">
        <f t="shared" si="541"/>
        <v/>
      </c>
      <c r="M840" s="46">
        <f t="shared" si="547"/>
        <v>0.75</v>
      </c>
      <c r="N840" s="46"/>
      <c r="O840" s="41">
        <f t="shared" si="536"/>
        <v>0</v>
      </c>
      <c r="P840" s="42">
        <v>115300</v>
      </c>
      <c r="Q840" s="44" t="s">
        <v>37</v>
      </c>
      <c r="R840" s="28" t="s">
        <v>56</v>
      </c>
      <c r="S840" s="48">
        <f t="shared" si="545"/>
        <v>691800</v>
      </c>
      <c r="T840" s="48">
        <f t="shared" si="548"/>
        <v>0</v>
      </c>
      <c r="W840" s="28">
        <v>534</v>
      </c>
      <c r="X840" s="105">
        <v>1.03</v>
      </c>
      <c r="Y840" s="105">
        <v>6.87</v>
      </c>
      <c r="Z840" s="73" t="s">
        <v>499</v>
      </c>
      <c r="AA840" s="28">
        <v>750</v>
      </c>
    </row>
    <row r="841" spans="1:27" x14ac:dyDescent="0.25">
      <c r="A841" s="4"/>
      <c r="B841" s="62" t="s">
        <v>984</v>
      </c>
      <c r="C841" s="75" t="s">
        <v>985</v>
      </c>
      <c r="D841" s="75" t="s">
        <v>377</v>
      </c>
      <c r="E841" s="28">
        <f t="shared" si="542"/>
        <v>92154</v>
      </c>
      <c r="F841" s="143" t="str">
        <f>INDEX(PV_Summary!$B$18:$B$118,MATCH($E841,PV_Summary!$A$18:$A$118,0))</f>
        <v>S</v>
      </c>
      <c r="G841" s="123">
        <v>32.548738999999998</v>
      </c>
      <c r="H841" s="61">
        <v>-116.97421799999999</v>
      </c>
      <c r="I841" s="44" t="s">
        <v>69</v>
      </c>
      <c r="J841" s="46">
        <f t="shared" ca="1" si="546"/>
        <v>1.5</v>
      </c>
      <c r="K841" s="100"/>
      <c r="L841" s="44" t="str">
        <f t="shared" ref="L841:L848" ca="1" si="549">IF(O841&gt;1,"Total","")</f>
        <v>Total</v>
      </c>
      <c r="M841" s="46">
        <f t="shared" ca="1" si="547"/>
        <v>1.25</v>
      </c>
      <c r="N841" s="46"/>
      <c r="O841" s="41">
        <f t="shared" ca="1" si="536"/>
        <v>6</v>
      </c>
      <c r="Q841" s="44"/>
      <c r="S841" s="48">
        <f t="shared" si="545"/>
        <v>0</v>
      </c>
      <c r="T841" s="48">
        <f t="shared" ca="1" si="548"/>
        <v>3586800</v>
      </c>
      <c r="W841" s="28">
        <v>533</v>
      </c>
      <c r="X841" s="105">
        <v>1.35</v>
      </c>
      <c r="Y841" s="105">
        <v>8.99</v>
      </c>
      <c r="Z841" s="73" t="s">
        <v>499</v>
      </c>
      <c r="AA841" s="28"/>
    </row>
    <row r="842" spans="1:27" x14ac:dyDescent="0.25">
      <c r="A842" s="4"/>
      <c r="B842" s="98" t="s">
        <v>987</v>
      </c>
      <c r="C842" s="75" t="s">
        <v>985</v>
      </c>
      <c r="D842" s="75" t="s">
        <v>377</v>
      </c>
      <c r="E842" s="28">
        <f t="shared" ref="E842:E845" si="550">RIGHT(TRIM(D842),5)*1</f>
        <v>92154</v>
      </c>
      <c r="F842" s="143" t="str">
        <f>INDEX(PV_Summary!$B$18:$B$118,MATCH($E842,PV_Summary!$A$18:$A$118,0))</f>
        <v>S</v>
      </c>
      <c r="G842" s="123">
        <v>32.548302999999997</v>
      </c>
      <c r="H842" s="61">
        <v>-116.974456</v>
      </c>
      <c r="I842" s="44" t="s">
        <v>37</v>
      </c>
      <c r="J842" s="46">
        <f t="shared" si="546"/>
        <v>0.75</v>
      </c>
      <c r="K842" s="100"/>
      <c r="L842" s="44" t="str">
        <f t="shared" ref="L842:L847" si="551">IF(O842&gt;1,"Total","")</f>
        <v/>
      </c>
      <c r="M842" s="46">
        <f t="shared" si="547"/>
        <v>0.75</v>
      </c>
      <c r="N842" s="46"/>
      <c r="O842" s="41">
        <f t="shared" si="536"/>
        <v>0</v>
      </c>
      <c r="P842" s="42">
        <f>10900+4600+10900</f>
        <v>26400</v>
      </c>
      <c r="Q842" s="44" t="s">
        <v>37</v>
      </c>
      <c r="R842" s="28" t="s">
        <v>55</v>
      </c>
      <c r="S842" s="48">
        <f t="shared" si="545"/>
        <v>184800</v>
      </c>
      <c r="T842" s="48">
        <f t="shared" si="548"/>
        <v>0</v>
      </c>
      <c r="W842" s="28">
        <v>533</v>
      </c>
      <c r="X842" s="105">
        <v>1.35</v>
      </c>
      <c r="Y842" s="105">
        <v>8.99</v>
      </c>
      <c r="Z842" s="73" t="s">
        <v>499</v>
      </c>
      <c r="AA842" s="28">
        <v>1000</v>
      </c>
    </row>
    <row r="843" spans="1:27" x14ac:dyDescent="0.25">
      <c r="A843" s="4"/>
      <c r="B843" s="98" t="s">
        <v>986</v>
      </c>
      <c r="C843" s="75" t="s">
        <v>985</v>
      </c>
      <c r="D843" s="75" t="s">
        <v>377</v>
      </c>
      <c r="E843" s="28">
        <f t="shared" si="550"/>
        <v>92154</v>
      </c>
      <c r="F843" s="143" t="str">
        <f>INDEX(PV_Summary!$B$18:$B$118,MATCH($E843,PV_Summary!$A$18:$A$118,0))</f>
        <v>S</v>
      </c>
      <c r="G843" s="123">
        <v>32.549084000000001</v>
      </c>
      <c r="H843" s="61">
        <v>-116.973494</v>
      </c>
      <c r="I843" s="44" t="s">
        <v>3</v>
      </c>
      <c r="J843" s="46">
        <f t="shared" si="546"/>
        <v>0.75</v>
      </c>
      <c r="K843" s="100"/>
      <c r="L843" s="44" t="str">
        <f t="shared" si="551"/>
        <v/>
      </c>
      <c r="M843" s="46">
        <f t="shared" si="547"/>
        <v>0.75</v>
      </c>
      <c r="N843" s="46"/>
      <c r="O843" s="41">
        <f t="shared" si="536"/>
        <v>0</v>
      </c>
      <c r="P843" s="42">
        <v>200000</v>
      </c>
      <c r="Q843" s="44" t="s">
        <v>3</v>
      </c>
      <c r="R843" s="28" t="s">
        <v>55</v>
      </c>
      <c r="S843" s="48">
        <f t="shared" si="545"/>
        <v>1400000</v>
      </c>
      <c r="T843" s="48">
        <f t="shared" si="548"/>
        <v>0</v>
      </c>
      <c r="W843" s="28">
        <v>533</v>
      </c>
      <c r="X843" s="105">
        <v>1.35</v>
      </c>
      <c r="Y843" s="105">
        <v>8.99</v>
      </c>
      <c r="Z843" s="73" t="s">
        <v>499</v>
      </c>
      <c r="AA843" s="28">
        <v>1000</v>
      </c>
    </row>
    <row r="844" spans="1:27" x14ac:dyDescent="0.25">
      <c r="A844" s="4"/>
      <c r="B844" s="98" t="s">
        <v>988</v>
      </c>
      <c r="C844" s="75" t="s">
        <v>985</v>
      </c>
      <c r="D844" s="75" t="s">
        <v>377</v>
      </c>
      <c r="E844" s="28">
        <f t="shared" si="550"/>
        <v>92154</v>
      </c>
      <c r="F844" s="143" t="str">
        <f>INDEX(PV_Summary!$B$18:$B$118,MATCH($E844,PV_Summary!$A$18:$A$118,0))</f>
        <v>S</v>
      </c>
      <c r="G844" s="123">
        <v>32.547778999999998</v>
      </c>
      <c r="H844" s="61">
        <v>-116.973624</v>
      </c>
      <c r="I844" s="44" t="s">
        <v>3</v>
      </c>
      <c r="J844" s="46">
        <f t="shared" si="546"/>
        <v>0.75</v>
      </c>
      <c r="K844" s="100"/>
      <c r="L844" s="44" t="str">
        <f t="shared" si="551"/>
        <v/>
      </c>
      <c r="M844" s="46">
        <f t="shared" si="547"/>
        <v>0.75</v>
      </c>
      <c r="N844" s="46"/>
      <c r="O844" s="41">
        <f t="shared" si="536"/>
        <v>0</v>
      </c>
      <c r="P844" s="42">
        <v>54000</v>
      </c>
      <c r="Q844" s="44" t="s">
        <v>3</v>
      </c>
      <c r="R844" s="28" t="s">
        <v>55</v>
      </c>
      <c r="S844" s="48">
        <f t="shared" si="545"/>
        <v>378000</v>
      </c>
      <c r="T844" s="48">
        <f t="shared" si="548"/>
        <v>0</v>
      </c>
      <c r="W844" s="28">
        <v>533</v>
      </c>
      <c r="X844" s="105">
        <v>1.35</v>
      </c>
      <c r="Y844" s="105">
        <v>8.99</v>
      </c>
      <c r="Z844" s="73" t="s">
        <v>499</v>
      </c>
      <c r="AA844" s="28">
        <v>1000</v>
      </c>
    </row>
    <row r="845" spans="1:27" x14ac:dyDescent="0.25">
      <c r="A845" s="4"/>
      <c r="B845" s="98" t="s">
        <v>989</v>
      </c>
      <c r="C845" s="75" t="s">
        <v>985</v>
      </c>
      <c r="D845" s="75" t="s">
        <v>377</v>
      </c>
      <c r="E845" s="28">
        <f t="shared" si="550"/>
        <v>92154</v>
      </c>
      <c r="F845" s="143" t="str">
        <f>INDEX(PV_Summary!$B$18:$B$118,MATCH($E845,PV_Summary!$A$18:$A$118,0))</f>
        <v>S</v>
      </c>
      <c r="G845" s="123">
        <v>32.549619999999997</v>
      </c>
      <c r="H845" s="61">
        <v>-116.97270399999999</v>
      </c>
      <c r="I845" s="44" t="s">
        <v>3</v>
      </c>
      <c r="J845" s="46">
        <f t="shared" si="546"/>
        <v>0.75</v>
      </c>
      <c r="K845" s="100"/>
      <c r="L845" s="44" t="str">
        <f t="shared" si="551"/>
        <v/>
      </c>
      <c r="M845" s="46">
        <f t="shared" si="547"/>
        <v>0.75</v>
      </c>
      <c r="N845" s="46"/>
      <c r="O845" s="41">
        <f t="shared" si="536"/>
        <v>0</v>
      </c>
      <c r="P845" s="42">
        <v>57000</v>
      </c>
      <c r="Q845" s="44" t="s">
        <v>3</v>
      </c>
      <c r="R845" s="28" t="s">
        <v>55</v>
      </c>
      <c r="S845" s="48">
        <f t="shared" si="545"/>
        <v>399000</v>
      </c>
      <c r="T845" s="48">
        <f t="shared" si="548"/>
        <v>0</v>
      </c>
      <c r="W845" s="28">
        <v>533</v>
      </c>
      <c r="X845" s="105">
        <v>1.35</v>
      </c>
      <c r="Y845" s="105">
        <v>8.99</v>
      </c>
      <c r="Z845" s="73" t="s">
        <v>499</v>
      </c>
      <c r="AA845" s="28">
        <v>1000</v>
      </c>
    </row>
    <row r="846" spans="1:27" x14ac:dyDescent="0.25">
      <c r="A846" s="4"/>
      <c r="B846" s="98" t="s">
        <v>990</v>
      </c>
      <c r="C846" s="75" t="s">
        <v>985</v>
      </c>
      <c r="D846" s="75" t="s">
        <v>377</v>
      </c>
      <c r="E846" s="28">
        <f t="shared" ref="E846" si="552">RIGHT(TRIM(D846),5)*1</f>
        <v>92154</v>
      </c>
      <c r="F846" s="143" t="str">
        <f>INDEX(PV_Summary!$B$18:$B$118,MATCH($E846,PV_Summary!$A$18:$A$118,0))</f>
        <v>S</v>
      </c>
      <c r="G846" s="123">
        <v>32.548583000000001</v>
      </c>
      <c r="H846" s="61">
        <v>-116.971615</v>
      </c>
      <c r="I846" s="44" t="s">
        <v>3</v>
      </c>
      <c r="J846" s="46">
        <f t="shared" si="546"/>
        <v>0.75</v>
      </c>
      <c r="K846" s="100"/>
      <c r="L846" s="44" t="str">
        <f t="shared" si="551"/>
        <v/>
      </c>
      <c r="M846" s="46">
        <f t="shared" si="547"/>
        <v>0.75</v>
      </c>
      <c r="N846" s="46"/>
      <c r="O846" s="41">
        <f t="shared" si="536"/>
        <v>0</v>
      </c>
      <c r="P846" s="42">
        <v>175000</v>
      </c>
      <c r="Q846" s="44" t="s">
        <v>3</v>
      </c>
      <c r="R846" s="28" t="s">
        <v>55</v>
      </c>
      <c r="S846" s="48">
        <f t="shared" si="545"/>
        <v>1225000</v>
      </c>
      <c r="T846" s="48">
        <f t="shared" si="548"/>
        <v>0</v>
      </c>
      <c r="W846" s="28">
        <v>533</v>
      </c>
      <c r="X846" s="105">
        <v>1.35</v>
      </c>
      <c r="Y846" s="105">
        <v>8.99</v>
      </c>
      <c r="Z846" s="73" t="s">
        <v>499</v>
      </c>
      <c r="AA846" s="28">
        <v>1000</v>
      </c>
    </row>
    <row r="847" spans="1:27" x14ac:dyDescent="0.25">
      <c r="A847" s="4"/>
      <c r="B847" s="62" t="s">
        <v>430</v>
      </c>
      <c r="C847" s="75" t="s">
        <v>431</v>
      </c>
      <c r="D847" s="75" t="s">
        <v>377</v>
      </c>
      <c r="E847" s="28">
        <f t="shared" si="542"/>
        <v>92154</v>
      </c>
      <c r="F847" s="143" t="str">
        <f>INDEX(PV_Summary!$B$18:$B$118,MATCH($E847,PV_Summary!$A$18:$A$118,0))</f>
        <v>S</v>
      </c>
      <c r="G847" s="123">
        <v>32.549779999999998</v>
      </c>
      <c r="H847" s="61">
        <v>-116.96111000000001</v>
      </c>
      <c r="I847" s="44" t="s">
        <v>37</v>
      </c>
      <c r="J847" s="46">
        <f t="shared" ca="1" si="546"/>
        <v>1</v>
      </c>
      <c r="K847" s="100"/>
      <c r="L847" s="44" t="str">
        <f t="shared" ca="1" si="551"/>
        <v/>
      </c>
      <c r="M847" s="46">
        <f t="shared" ca="1" si="547"/>
        <v>1</v>
      </c>
      <c r="N847" s="46"/>
      <c r="O847" s="41">
        <f t="shared" ca="1" si="536"/>
        <v>1</v>
      </c>
      <c r="P847" s="42">
        <v>255000</v>
      </c>
      <c r="Q847" s="44" t="s">
        <v>37</v>
      </c>
      <c r="R847" s="28" t="s">
        <v>55</v>
      </c>
      <c r="S847" s="48">
        <f t="shared" si="545"/>
        <v>1785000</v>
      </c>
      <c r="T847" s="48">
        <f t="shared" ca="1" si="548"/>
        <v>1785000</v>
      </c>
      <c r="W847" s="28">
        <v>1160</v>
      </c>
      <c r="X847" s="105">
        <v>1.46</v>
      </c>
      <c r="Y847" s="105">
        <v>9.76</v>
      </c>
      <c r="Z847" s="73" t="s">
        <v>499</v>
      </c>
      <c r="AA847" s="28">
        <v>50</v>
      </c>
    </row>
    <row r="848" spans="1:27" x14ac:dyDescent="0.25">
      <c r="A848" s="4"/>
      <c r="B848" s="62" t="s">
        <v>434</v>
      </c>
      <c r="C848" s="75" t="s">
        <v>433</v>
      </c>
      <c r="D848" s="75" t="s">
        <v>377</v>
      </c>
      <c r="E848" s="28">
        <f t="shared" si="542"/>
        <v>92154</v>
      </c>
      <c r="F848" s="143" t="str">
        <f>INDEX(PV_Summary!$B$18:$B$118,MATCH($E848,PV_Summary!$A$18:$A$118,0))</f>
        <v>S</v>
      </c>
      <c r="G848" s="123">
        <v>32.549827000000001</v>
      </c>
      <c r="H848" s="61">
        <v>-116.95917799999999</v>
      </c>
      <c r="I848" s="44" t="s">
        <v>37</v>
      </c>
      <c r="J848" s="46">
        <f t="shared" ca="1" si="546"/>
        <v>1</v>
      </c>
      <c r="K848" s="100"/>
      <c r="L848" s="44" t="str">
        <f t="shared" ca="1" si="549"/>
        <v/>
      </c>
      <c r="M848" s="46">
        <f t="shared" ca="1" si="547"/>
        <v>1</v>
      </c>
      <c r="N848" s="46"/>
      <c r="O848" s="41">
        <f t="shared" ca="1" si="536"/>
        <v>1</v>
      </c>
      <c r="P848" s="42">
        <v>222000</v>
      </c>
      <c r="Q848" s="44" t="s">
        <v>37</v>
      </c>
      <c r="R848" s="28" t="s">
        <v>55</v>
      </c>
      <c r="S848" s="48">
        <f t="shared" si="545"/>
        <v>1554000</v>
      </c>
      <c r="T848" s="48">
        <f t="shared" ca="1" si="548"/>
        <v>1554000</v>
      </c>
      <c r="W848" s="28">
        <v>1160</v>
      </c>
      <c r="X848" s="105">
        <v>1.46</v>
      </c>
      <c r="Y848" s="105">
        <v>9.76</v>
      </c>
      <c r="Z848" s="73" t="s">
        <v>499</v>
      </c>
      <c r="AA848" s="28">
        <v>50</v>
      </c>
    </row>
    <row r="849" spans="1:27" x14ac:dyDescent="0.25">
      <c r="A849" s="4"/>
      <c r="B849" s="62" t="s">
        <v>435</v>
      </c>
      <c r="C849" s="75" t="s">
        <v>436</v>
      </c>
      <c r="D849" s="75" t="s">
        <v>377</v>
      </c>
      <c r="E849" s="28">
        <f t="shared" si="542"/>
        <v>92154</v>
      </c>
      <c r="F849" s="143" t="str">
        <f>INDEX(PV_Summary!$B$18:$B$118,MATCH($E849,PV_Summary!$A$18:$A$118,0))</f>
        <v>S</v>
      </c>
      <c r="G849" s="123">
        <v>32.549979999999998</v>
      </c>
      <c r="H849" s="61">
        <v>-116.955916</v>
      </c>
      <c r="I849" s="44" t="s">
        <v>218</v>
      </c>
      <c r="J849" s="46">
        <f t="shared" ref="J849:J861" ca="1" si="553">IF(O849&gt;1,Sym_Scl_Aggr_Parent,IF(O849&lt;1,Sym_Scl_Aggr_Child,Sym_Scl_Normal))</f>
        <v>1.5</v>
      </c>
      <c r="K849" s="100"/>
      <c r="L849" s="44" t="str">
        <f t="shared" ca="1" si="541"/>
        <v>Total</v>
      </c>
      <c r="M849" s="46">
        <f t="shared" ref="M849:M861" ca="1" si="554">IF(O849&gt;1,Label_Scl_Aggr_Parent,IF(O849&lt;1,Label_Scl_Aggr_Child,Label_Scl_Normal))</f>
        <v>1.25</v>
      </c>
      <c r="N849" s="46"/>
      <c r="O849" s="41">
        <f t="shared" ca="1" si="536"/>
        <v>3</v>
      </c>
      <c r="Q849" s="44"/>
      <c r="S849" s="48">
        <f t="shared" si="545"/>
        <v>0</v>
      </c>
      <c r="T849" s="48">
        <f t="shared" ca="1" si="548"/>
        <v>1698900</v>
      </c>
      <c r="W849" s="28">
        <v>1160</v>
      </c>
      <c r="X849" s="105">
        <v>1.46</v>
      </c>
      <c r="Y849" s="105">
        <v>9.76</v>
      </c>
      <c r="Z849" s="73" t="s">
        <v>499</v>
      </c>
      <c r="AA849" s="28"/>
    </row>
    <row r="850" spans="1:27" x14ac:dyDescent="0.25">
      <c r="A850" s="4"/>
      <c r="B850" s="98" t="s">
        <v>437</v>
      </c>
      <c r="C850" s="75" t="s">
        <v>436</v>
      </c>
      <c r="D850" s="75" t="s">
        <v>377</v>
      </c>
      <c r="E850" s="28">
        <f t="shared" si="542"/>
        <v>92154</v>
      </c>
      <c r="F850" s="143" t="str">
        <f>INDEX(PV_Summary!$B$18:$B$118,MATCH($E850,PV_Summary!$A$18:$A$118,0))</f>
        <v>S</v>
      </c>
      <c r="G850" s="123">
        <v>32.550078999999997</v>
      </c>
      <c r="H850" s="61">
        <v>-116.95531800000001</v>
      </c>
      <c r="I850" s="44" t="s">
        <v>37</v>
      </c>
      <c r="J850" s="46">
        <f t="shared" si="553"/>
        <v>0.75</v>
      </c>
      <c r="K850" s="100"/>
      <c r="L850" s="44" t="str">
        <f t="shared" si="541"/>
        <v/>
      </c>
      <c r="M850" s="46">
        <f t="shared" si="554"/>
        <v>0.75</v>
      </c>
      <c r="N850" s="46"/>
      <c r="O850" s="41">
        <f t="shared" si="536"/>
        <v>0</v>
      </c>
      <c r="P850" s="42">
        <v>58000</v>
      </c>
      <c r="Q850" s="44" t="s">
        <v>37</v>
      </c>
      <c r="R850" s="28" t="s">
        <v>55</v>
      </c>
      <c r="S850" s="48">
        <f t="shared" si="545"/>
        <v>406000</v>
      </c>
      <c r="T850" s="48">
        <f t="shared" si="548"/>
        <v>0</v>
      </c>
      <c r="W850" s="28">
        <v>1160</v>
      </c>
      <c r="X850" s="105">
        <v>1.46</v>
      </c>
      <c r="Y850" s="105">
        <v>9.76</v>
      </c>
      <c r="Z850" s="73" t="s">
        <v>499</v>
      </c>
      <c r="AA850" s="28">
        <v>100</v>
      </c>
    </row>
    <row r="851" spans="1:27" x14ac:dyDescent="0.25">
      <c r="A851" s="4"/>
      <c r="B851" s="98" t="s">
        <v>438</v>
      </c>
      <c r="C851" s="75" t="s">
        <v>436</v>
      </c>
      <c r="D851" s="75" t="s">
        <v>377</v>
      </c>
      <c r="E851" s="28">
        <f t="shared" si="542"/>
        <v>92154</v>
      </c>
      <c r="F851" s="143" t="str">
        <f>INDEX(PV_Summary!$B$18:$B$118,MATCH($E851,PV_Summary!$A$18:$A$118,0))</f>
        <v>S</v>
      </c>
      <c r="G851" s="123">
        <v>32.549925999999999</v>
      </c>
      <c r="H851" s="61">
        <v>-116.956824</v>
      </c>
      <c r="I851" s="44" t="s">
        <v>37</v>
      </c>
      <c r="J851" s="46">
        <f t="shared" si="553"/>
        <v>0.75</v>
      </c>
      <c r="K851" s="100"/>
      <c r="L851" s="44" t="str">
        <f t="shared" si="541"/>
        <v/>
      </c>
      <c r="M851" s="46">
        <f t="shared" si="554"/>
        <v>0.75</v>
      </c>
      <c r="N851" s="46"/>
      <c r="O851" s="41">
        <f t="shared" si="536"/>
        <v>0</v>
      </c>
      <c r="P851" s="42">
        <v>184700</v>
      </c>
      <c r="Q851" s="44" t="s">
        <v>37</v>
      </c>
      <c r="R851" s="28" t="s">
        <v>55</v>
      </c>
      <c r="S851" s="48">
        <f t="shared" si="545"/>
        <v>1292900</v>
      </c>
      <c r="T851" s="48">
        <f t="shared" si="548"/>
        <v>0</v>
      </c>
      <c r="W851" s="28">
        <v>1160</v>
      </c>
      <c r="X851" s="105">
        <v>1.46</v>
      </c>
      <c r="Y851" s="105">
        <v>9.76</v>
      </c>
      <c r="Z851" s="73" t="s">
        <v>499</v>
      </c>
      <c r="AA851" s="28">
        <v>100</v>
      </c>
    </row>
    <row r="852" spans="1:27" x14ac:dyDescent="0.25">
      <c r="A852" s="4"/>
      <c r="B852" s="62" t="s">
        <v>439</v>
      </c>
      <c r="C852" s="75" t="s">
        <v>440</v>
      </c>
      <c r="D852" s="75" t="s">
        <v>377</v>
      </c>
      <c r="E852" s="28">
        <f t="shared" si="542"/>
        <v>92154</v>
      </c>
      <c r="F852" s="143" t="str">
        <f>INDEX(PV_Summary!$B$18:$B$118,MATCH($E852,PV_Summary!$A$18:$A$118,0))</f>
        <v>S</v>
      </c>
      <c r="G852" s="123">
        <v>32.550238</v>
      </c>
      <c r="H852" s="61">
        <v>-116.95276200000001</v>
      </c>
      <c r="I852" s="44" t="s">
        <v>37</v>
      </c>
      <c r="J852" s="46">
        <f t="shared" ca="1" si="553"/>
        <v>1</v>
      </c>
      <c r="K852" s="100"/>
      <c r="L852" s="44" t="str">
        <f t="shared" ca="1" si="541"/>
        <v/>
      </c>
      <c r="M852" s="46">
        <f t="shared" ca="1" si="554"/>
        <v>1</v>
      </c>
      <c r="N852" s="46"/>
      <c r="O852" s="41">
        <f t="shared" ca="1" si="536"/>
        <v>1</v>
      </c>
      <c r="P852" s="42">
        <v>108000</v>
      </c>
      <c r="Q852" s="44" t="s">
        <v>37</v>
      </c>
      <c r="R852" s="28" t="s">
        <v>55</v>
      </c>
      <c r="S852" s="48">
        <f t="shared" si="545"/>
        <v>756000</v>
      </c>
      <c r="T852" s="48">
        <f t="shared" ca="1" si="548"/>
        <v>756000</v>
      </c>
      <c r="W852" s="28">
        <v>1160</v>
      </c>
      <c r="X852" s="105">
        <v>1.46</v>
      </c>
      <c r="Y852" s="105">
        <v>9.76</v>
      </c>
      <c r="Z852" s="73" t="s">
        <v>499</v>
      </c>
      <c r="AA852" s="28">
        <v>150</v>
      </c>
    </row>
    <row r="853" spans="1:27" x14ac:dyDescent="0.25">
      <c r="A853" s="4"/>
      <c r="B853" s="62" t="s">
        <v>441</v>
      </c>
      <c r="C853" s="75" t="s">
        <v>442</v>
      </c>
      <c r="D853" s="75" t="s">
        <v>377</v>
      </c>
      <c r="E853" s="28">
        <f t="shared" si="542"/>
        <v>92154</v>
      </c>
      <c r="F853" s="143" t="str">
        <f>INDEX(PV_Summary!$B$18:$B$118,MATCH($E853,PV_Summary!$A$18:$A$118,0))</f>
        <v>S</v>
      </c>
      <c r="G853" s="123">
        <v>32.550206000000003</v>
      </c>
      <c r="H853" s="61">
        <v>-116.950638</v>
      </c>
      <c r="I853" s="44" t="s">
        <v>37</v>
      </c>
      <c r="J853" s="46">
        <f t="shared" ca="1" si="553"/>
        <v>1</v>
      </c>
      <c r="K853" s="100"/>
      <c r="L853" s="44" t="str">
        <f t="shared" ca="1" si="541"/>
        <v/>
      </c>
      <c r="M853" s="46">
        <f t="shared" ca="1" si="554"/>
        <v>1</v>
      </c>
      <c r="N853" s="46"/>
      <c r="O853" s="41">
        <f t="shared" ca="1" si="536"/>
        <v>1</v>
      </c>
      <c r="P853" s="42">
        <v>97300</v>
      </c>
      <c r="Q853" s="44" t="s">
        <v>37</v>
      </c>
      <c r="R853" s="28" t="s">
        <v>55</v>
      </c>
      <c r="S853" s="48">
        <f t="shared" si="545"/>
        <v>681100</v>
      </c>
      <c r="T853" s="48">
        <f t="shared" ca="1" si="548"/>
        <v>681100</v>
      </c>
      <c r="W853" s="28">
        <v>1160</v>
      </c>
      <c r="X853" s="105">
        <v>1.46</v>
      </c>
      <c r="Y853" s="105">
        <v>9.76</v>
      </c>
      <c r="Z853" s="73" t="s">
        <v>499</v>
      </c>
      <c r="AA853" s="28">
        <v>0</v>
      </c>
    </row>
    <row r="854" spans="1:27" x14ac:dyDescent="0.25">
      <c r="A854" s="4"/>
      <c r="B854" s="62" t="s">
        <v>443</v>
      </c>
      <c r="C854" s="75" t="s">
        <v>444</v>
      </c>
      <c r="D854" s="75" t="s">
        <v>377</v>
      </c>
      <c r="E854" s="28">
        <f t="shared" si="542"/>
        <v>92154</v>
      </c>
      <c r="F854" s="143" t="str">
        <f>INDEX(PV_Summary!$B$18:$B$118,MATCH($E854,PV_Summary!$A$18:$A$118,0))</f>
        <v>S</v>
      </c>
      <c r="G854" s="123">
        <v>32.551997999999998</v>
      </c>
      <c r="H854" s="61">
        <v>-116.95273899999999</v>
      </c>
      <c r="I854" s="44" t="s">
        <v>37</v>
      </c>
      <c r="J854" s="46">
        <f t="shared" ca="1" si="553"/>
        <v>1</v>
      </c>
      <c r="K854" s="100"/>
      <c r="L854" s="44" t="str">
        <f t="shared" ca="1" si="541"/>
        <v/>
      </c>
      <c r="M854" s="46">
        <f t="shared" ca="1" si="554"/>
        <v>1</v>
      </c>
      <c r="N854" s="46"/>
      <c r="O854" s="41">
        <f t="shared" ca="1" si="536"/>
        <v>1</v>
      </c>
      <c r="P854" s="42">
        <v>106000</v>
      </c>
      <c r="Q854" s="44" t="s">
        <v>37</v>
      </c>
      <c r="R854" s="28" t="s">
        <v>55</v>
      </c>
      <c r="S854" s="48">
        <f t="shared" si="545"/>
        <v>742000</v>
      </c>
      <c r="T854" s="48">
        <f t="shared" ca="1" si="548"/>
        <v>742000</v>
      </c>
      <c r="W854" s="28">
        <v>1160</v>
      </c>
      <c r="X854" s="105">
        <v>1.46</v>
      </c>
      <c r="Y854" s="105">
        <v>9.76</v>
      </c>
      <c r="Z854" s="73" t="s">
        <v>499</v>
      </c>
      <c r="AA854" s="28">
        <v>100</v>
      </c>
    </row>
    <row r="855" spans="1:27" x14ac:dyDescent="0.25">
      <c r="A855" s="4"/>
      <c r="B855" s="62" t="s">
        <v>446</v>
      </c>
      <c r="C855" s="75" t="s">
        <v>447</v>
      </c>
      <c r="D855" s="75" t="s">
        <v>377</v>
      </c>
      <c r="E855" s="28">
        <f t="shared" si="542"/>
        <v>92154</v>
      </c>
      <c r="F855" s="143" t="str">
        <f>INDEX(PV_Summary!$B$18:$B$118,MATCH($E855,PV_Summary!$A$18:$A$118,0))</f>
        <v>S</v>
      </c>
      <c r="G855" s="123">
        <v>32.551921</v>
      </c>
      <c r="H855" s="61">
        <v>-116.950997</v>
      </c>
      <c r="I855" s="44" t="s">
        <v>37</v>
      </c>
      <c r="J855" s="46">
        <f t="shared" ca="1" si="553"/>
        <v>1</v>
      </c>
      <c r="K855" s="100"/>
      <c r="L855" s="44" t="str">
        <f t="shared" ca="1" si="541"/>
        <v/>
      </c>
      <c r="M855" s="46">
        <f t="shared" ca="1" si="554"/>
        <v>1</v>
      </c>
      <c r="N855" s="46"/>
      <c r="O855" s="41">
        <f t="shared" ca="1" si="536"/>
        <v>1</v>
      </c>
      <c r="P855" s="42">
        <v>254500</v>
      </c>
      <c r="Q855" s="44" t="s">
        <v>37</v>
      </c>
      <c r="R855" s="28" t="s">
        <v>55</v>
      </c>
      <c r="S855" s="48">
        <f t="shared" si="545"/>
        <v>1781500</v>
      </c>
      <c r="T855" s="48">
        <f t="shared" ca="1" si="548"/>
        <v>1781500</v>
      </c>
      <c r="W855" s="28">
        <v>1160</v>
      </c>
      <c r="X855" s="105">
        <v>1.46</v>
      </c>
      <c r="Y855" s="105">
        <v>9.76</v>
      </c>
      <c r="Z855" s="73" t="s">
        <v>499</v>
      </c>
      <c r="AA855" s="28">
        <v>200</v>
      </c>
    </row>
    <row r="856" spans="1:27" x14ac:dyDescent="0.25">
      <c r="A856" s="4"/>
      <c r="B856" s="62" t="s">
        <v>448</v>
      </c>
      <c r="C856" s="75" t="s">
        <v>449</v>
      </c>
      <c r="D856" s="75" t="s">
        <v>377</v>
      </c>
      <c r="E856" s="28">
        <f t="shared" si="542"/>
        <v>92154</v>
      </c>
      <c r="F856" s="143" t="str">
        <f>INDEX(PV_Summary!$B$18:$B$118,MATCH($E856,PV_Summary!$A$18:$A$118,0))</f>
        <v>S</v>
      </c>
      <c r="G856" s="123">
        <v>32.552098999999998</v>
      </c>
      <c r="H856" s="61">
        <v>-116.94732</v>
      </c>
      <c r="I856" s="44" t="s">
        <v>218</v>
      </c>
      <c r="J856" s="46">
        <f t="shared" ca="1" si="553"/>
        <v>1.5</v>
      </c>
      <c r="K856" s="100"/>
      <c r="L856" s="44" t="str">
        <f t="shared" ca="1" si="541"/>
        <v>Total</v>
      </c>
      <c r="M856" s="46">
        <f t="shared" ca="1" si="554"/>
        <v>1.25</v>
      </c>
      <c r="N856" s="46"/>
      <c r="O856" s="41">
        <f t="shared" ca="1" si="536"/>
        <v>5</v>
      </c>
      <c r="Q856" s="44"/>
      <c r="S856" s="48">
        <f t="shared" si="545"/>
        <v>0</v>
      </c>
      <c r="T856" s="48">
        <f t="shared" ca="1" si="548"/>
        <v>2343600</v>
      </c>
      <c r="W856" s="28">
        <v>1160</v>
      </c>
      <c r="X856" s="105">
        <v>1.46</v>
      </c>
      <c r="Y856" s="105">
        <v>9.76</v>
      </c>
      <c r="Z856" s="73" t="s">
        <v>499</v>
      </c>
      <c r="AA856" s="28"/>
    </row>
    <row r="857" spans="1:27" x14ac:dyDescent="0.25">
      <c r="A857" s="4"/>
      <c r="B857" s="98" t="s">
        <v>450</v>
      </c>
      <c r="C857" s="75" t="s">
        <v>449</v>
      </c>
      <c r="D857" s="75" t="s">
        <v>377</v>
      </c>
      <c r="E857" s="28">
        <f t="shared" si="542"/>
        <v>92154</v>
      </c>
      <c r="F857" s="143" t="str">
        <f>INDEX(PV_Summary!$B$18:$B$118,MATCH($E857,PV_Summary!$A$18:$A$118,0))</f>
        <v>S</v>
      </c>
      <c r="G857" s="123">
        <v>32.551597000000001</v>
      </c>
      <c r="H857" s="61">
        <v>-116.94737600000001</v>
      </c>
      <c r="I857" s="44" t="s">
        <v>37</v>
      </c>
      <c r="J857" s="46">
        <f t="shared" si="553"/>
        <v>0.75</v>
      </c>
      <c r="K857" s="100"/>
      <c r="L857" s="44" t="str">
        <f t="shared" si="541"/>
        <v/>
      </c>
      <c r="M857" s="46">
        <f t="shared" si="554"/>
        <v>0.75</v>
      </c>
      <c r="N857" s="46"/>
      <c r="O857" s="41">
        <f t="shared" si="536"/>
        <v>0</v>
      </c>
      <c r="P857" s="42">
        <v>276400</v>
      </c>
      <c r="Q857" s="44" t="s">
        <v>37</v>
      </c>
      <c r="R857" s="28" t="s">
        <v>55</v>
      </c>
      <c r="S857" s="48">
        <f t="shared" si="545"/>
        <v>1934800</v>
      </c>
      <c r="T857" s="48">
        <f t="shared" si="548"/>
        <v>0</v>
      </c>
      <c r="W857" s="28">
        <v>1160</v>
      </c>
      <c r="X857" s="105">
        <v>1.46</v>
      </c>
      <c r="Y857" s="105">
        <v>9.76</v>
      </c>
      <c r="Z857" s="73" t="s">
        <v>499</v>
      </c>
      <c r="AA857" s="28">
        <v>0</v>
      </c>
    </row>
    <row r="858" spans="1:27" x14ac:dyDescent="0.25">
      <c r="A858" s="4"/>
      <c r="B858" s="98" t="s">
        <v>451</v>
      </c>
      <c r="C858" s="75" t="s">
        <v>449</v>
      </c>
      <c r="D858" s="75" t="s">
        <v>377</v>
      </c>
      <c r="E858" s="28">
        <f t="shared" si="542"/>
        <v>92154</v>
      </c>
      <c r="F858" s="143" t="str">
        <f>INDEX(PV_Summary!$B$18:$B$118,MATCH($E858,PV_Summary!$A$18:$A$118,0))</f>
        <v>S</v>
      </c>
      <c r="G858" s="123">
        <v>32.552570000000003</v>
      </c>
      <c r="H858" s="61">
        <v>-116.948528</v>
      </c>
      <c r="I858" s="44" t="s">
        <v>37</v>
      </c>
      <c r="J858" s="46">
        <f t="shared" si="553"/>
        <v>0.75</v>
      </c>
      <c r="K858" s="100"/>
      <c r="L858" s="44" t="str">
        <f t="shared" si="541"/>
        <v/>
      </c>
      <c r="M858" s="46">
        <f t="shared" si="554"/>
        <v>0.75</v>
      </c>
      <c r="N858" s="46"/>
      <c r="O858" s="41">
        <f t="shared" si="536"/>
        <v>0</v>
      </c>
      <c r="P858" s="42">
        <v>20000</v>
      </c>
      <c r="Q858" s="44" t="s">
        <v>37</v>
      </c>
      <c r="R858" s="28" t="s">
        <v>55</v>
      </c>
      <c r="S858" s="48">
        <f t="shared" si="545"/>
        <v>140000</v>
      </c>
      <c r="T858" s="48">
        <f t="shared" si="548"/>
        <v>0</v>
      </c>
      <c r="W858" s="28">
        <v>1160</v>
      </c>
      <c r="X858" s="105">
        <v>1.46</v>
      </c>
      <c r="Y858" s="105">
        <v>9.76</v>
      </c>
      <c r="Z858" s="73" t="s">
        <v>499</v>
      </c>
      <c r="AA858" s="28">
        <v>100</v>
      </c>
    </row>
    <row r="859" spans="1:27" x14ac:dyDescent="0.25">
      <c r="A859" s="4"/>
      <c r="B859" s="98" t="s">
        <v>452</v>
      </c>
      <c r="C859" s="75" t="s">
        <v>449</v>
      </c>
      <c r="D859" s="75" t="s">
        <v>377</v>
      </c>
      <c r="E859" s="28">
        <f t="shared" si="542"/>
        <v>92154</v>
      </c>
      <c r="F859" s="143" t="str">
        <f>INDEX(PV_Summary!$B$18:$B$118,MATCH($E859,PV_Summary!$A$18:$A$118,0))</f>
        <v>S</v>
      </c>
      <c r="G859" s="123">
        <v>32.552540999999998</v>
      </c>
      <c r="H859" s="61">
        <v>-116.947256</v>
      </c>
      <c r="I859" s="44" t="s">
        <v>37</v>
      </c>
      <c r="J859" s="46">
        <f t="shared" si="553"/>
        <v>0.75</v>
      </c>
      <c r="K859" s="100"/>
      <c r="L859" s="44" t="str">
        <f t="shared" si="541"/>
        <v/>
      </c>
      <c r="M859" s="46">
        <f t="shared" si="554"/>
        <v>0.75</v>
      </c>
      <c r="N859" s="46"/>
      <c r="O859" s="41">
        <f t="shared" si="536"/>
        <v>0</v>
      </c>
      <c r="P859" s="42">
        <v>20000</v>
      </c>
      <c r="Q859" s="44" t="s">
        <v>37</v>
      </c>
      <c r="R859" s="28" t="s">
        <v>55</v>
      </c>
      <c r="S859" s="48">
        <f t="shared" si="545"/>
        <v>140000</v>
      </c>
      <c r="T859" s="48">
        <f t="shared" si="548"/>
        <v>0</v>
      </c>
      <c r="W859" s="28">
        <v>1160</v>
      </c>
      <c r="X859" s="105">
        <v>1.46</v>
      </c>
      <c r="Y859" s="105">
        <v>9.76</v>
      </c>
      <c r="Z859" s="73" t="s">
        <v>499</v>
      </c>
      <c r="AA859" s="28">
        <v>100</v>
      </c>
    </row>
    <row r="860" spans="1:27" x14ac:dyDescent="0.25">
      <c r="A860" s="4"/>
      <c r="B860" s="98" t="s">
        <v>453</v>
      </c>
      <c r="C860" s="75" t="s">
        <v>449</v>
      </c>
      <c r="D860" s="75" t="s">
        <v>377</v>
      </c>
      <c r="E860" s="28">
        <f t="shared" si="542"/>
        <v>92154</v>
      </c>
      <c r="F860" s="143" t="str">
        <f>INDEX(PV_Summary!$B$18:$B$118,MATCH($E860,PV_Summary!$A$18:$A$118,0))</f>
        <v>S</v>
      </c>
      <c r="G860" s="123">
        <v>32.552492999999998</v>
      </c>
      <c r="H860" s="61">
        <v>-116.946027</v>
      </c>
      <c r="I860" s="44" t="s">
        <v>37</v>
      </c>
      <c r="J860" s="46">
        <f t="shared" si="553"/>
        <v>0.75</v>
      </c>
      <c r="K860" s="100"/>
      <c r="L860" s="44" t="str">
        <f t="shared" si="541"/>
        <v/>
      </c>
      <c r="M860" s="46">
        <f t="shared" si="554"/>
        <v>0.75</v>
      </c>
      <c r="N860" s="46"/>
      <c r="O860" s="41">
        <f t="shared" si="536"/>
        <v>0</v>
      </c>
      <c r="P860" s="42">
        <v>18400</v>
      </c>
      <c r="Q860" s="44" t="s">
        <v>37</v>
      </c>
      <c r="R860" s="28" t="s">
        <v>55</v>
      </c>
      <c r="S860" s="48">
        <f t="shared" si="545"/>
        <v>128800</v>
      </c>
      <c r="T860" s="48">
        <f t="shared" si="548"/>
        <v>0</v>
      </c>
      <c r="W860" s="28">
        <v>1160</v>
      </c>
      <c r="X860" s="105">
        <v>1.46</v>
      </c>
      <c r="Y860" s="105">
        <v>9.76</v>
      </c>
      <c r="Z860" s="73" t="s">
        <v>499</v>
      </c>
      <c r="AA860" s="28">
        <v>100</v>
      </c>
    </row>
    <row r="861" spans="1:27" x14ac:dyDescent="0.25">
      <c r="A861" s="4"/>
      <c r="B861" s="75" t="s">
        <v>455</v>
      </c>
      <c r="C861" s="75" t="s">
        <v>454</v>
      </c>
      <c r="D861" s="75" t="s">
        <v>377</v>
      </c>
      <c r="E861" s="28">
        <f t="shared" si="542"/>
        <v>92154</v>
      </c>
      <c r="F861" s="143" t="str">
        <f>INDEX(PV_Summary!$B$18:$B$118,MATCH($E861,PV_Summary!$A$18:$A$118,0))</f>
        <v>S</v>
      </c>
      <c r="G861" s="123">
        <v>32.550958000000001</v>
      </c>
      <c r="H861" s="61">
        <v>-116.943219</v>
      </c>
      <c r="I861" s="44" t="s">
        <v>218</v>
      </c>
      <c r="J861" s="46">
        <f t="shared" ca="1" si="553"/>
        <v>1.5</v>
      </c>
      <c r="K861" s="100"/>
      <c r="L861" s="44" t="str">
        <f t="shared" ca="1" si="541"/>
        <v>Total</v>
      </c>
      <c r="M861" s="46">
        <f t="shared" ca="1" si="554"/>
        <v>1.25</v>
      </c>
      <c r="N861" s="46"/>
      <c r="O861" s="41">
        <f t="shared" ca="1" si="536"/>
        <v>6</v>
      </c>
      <c r="Q861" s="44"/>
      <c r="S861" s="48">
        <f t="shared" si="545"/>
        <v>0</v>
      </c>
      <c r="T861" s="48">
        <f t="shared" ca="1" si="548"/>
        <v>1681900</v>
      </c>
      <c r="W861" s="28">
        <v>535</v>
      </c>
      <c r="X861" s="105">
        <v>1.41</v>
      </c>
      <c r="Y861" s="105">
        <v>9.4</v>
      </c>
      <c r="Z861" s="73" t="s">
        <v>499</v>
      </c>
      <c r="AA861" s="28"/>
    </row>
    <row r="862" spans="1:27" x14ac:dyDescent="0.25">
      <c r="A862" s="4"/>
      <c r="B862" s="98" t="s">
        <v>456</v>
      </c>
      <c r="C862" s="75" t="s">
        <v>454</v>
      </c>
      <c r="D862" s="75" t="s">
        <v>377</v>
      </c>
      <c r="E862" s="28">
        <f t="shared" si="542"/>
        <v>92154</v>
      </c>
      <c r="F862" s="143" t="str">
        <f>INDEX(PV_Summary!$B$18:$B$118,MATCH($E862,PV_Summary!$A$18:$A$118,0))</f>
        <v>S</v>
      </c>
      <c r="G862" s="123">
        <v>32.551262000000001</v>
      </c>
      <c r="H862" s="61">
        <v>-116.944271</v>
      </c>
      <c r="I862" s="44" t="s">
        <v>37</v>
      </c>
      <c r="J862" s="46">
        <f t="shared" ref="J862:J879" si="555">IF(O862&gt;1,Sym_Scl_Aggr_Parent,IF(O862&lt;1,Sym_Scl_Aggr_Child,Sym_Scl_Normal))</f>
        <v>0.75</v>
      </c>
      <c r="K862" s="100"/>
      <c r="L862" s="44" t="str">
        <f t="shared" si="541"/>
        <v/>
      </c>
      <c r="M862" s="46">
        <f t="shared" ref="M862:M884" si="556">IF(O862&gt;1,Label_Scl_Aggr_Parent,IF(O862&lt;1,Label_Scl_Aggr_Child,Label_Scl_Normal))</f>
        <v>0.75</v>
      </c>
      <c r="N862" s="46"/>
      <c r="O862" s="41">
        <f t="shared" si="536"/>
        <v>0</v>
      </c>
      <c r="P862" s="42">
        <v>23000</v>
      </c>
      <c r="Q862" s="44" t="s">
        <v>37</v>
      </c>
      <c r="R862" s="28" t="s">
        <v>56</v>
      </c>
      <c r="S862" s="48">
        <f t="shared" si="545"/>
        <v>138000</v>
      </c>
      <c r="T862" s="48">
        <f t="shared" si="548"/>
        <v>0</v>
      </c>
      <c r="W862" s="28">
        <v>535</v>
      </c>
      <c r="X862" s="105">
        <v>1.41</v>
      </c>
      <c r="Y862" s="105">
        <v>9.4</v>
      </c>
      <c r="Z862" s="73" t="s">
        <v>499</v>
      </c>
      <c r="AA862" s="28">
        <v>150</v>
      </c>
    </row>
    <row r="863" spans="1:27" x14ac:dyDescent="0.25">
      <c r="A863" s="4"/>
      <c r="B863" s="98" t="s">
        <v>457</v>
      </c>
      <c r="C863" s="75" t="s">
        <v>454</v>
      </c>
      <c r="D863" s="75" t="s">
        <v>377</v>
      </c>
      <c r="E863" s="28">
        <f t="shared" si="542"/>
        <v>92154</v>
      </c>
      <c r="F863" s="143" t="str">
        <f>INDEX(PV_Summary!$B$18:$B$118,MATCH($E863,PV_Summary!$A$18:$A$118,0))</f>
        <v>S</v>
      </c>
      <c r="G863" s="123">
        <v>32.551282999999998</v>
      </c>
      <c r="H863" s="61">
        <v>-116.942774</v>
      </c>
      <c r="I863" s="44" t="s">
        <v>37</v>
      </c>
      <c r="J863" s="46">
        <f t="shared" si="555"/>
        <v>0.75</v>
      </c>
      <c r="K863" s="100"/>
      <c r="L863" s="44" t="str">
        <f t="shared" si="541"/>
        <v/>
      </c>
      <c r="M863" s="46">
        <f t="shared" si="556"/>
        <v>0.75</v>
      </c>
      <c r="N863" s="46"/>
      <c r="O863" s="41">
        <f t="shared" si="536"/>
        <v>0</v>
      </c>
      <c r="P863" s="42">
        <v>12000</v>
      </c>
      <c r="Q863" s="44" t="s">
        <v>37</v>
      </c>
      <c r="R863" s="28" t="s">
        <v>56</v>
      </c>
      <c r="S863" s="48">
        <f t="shared" si="545"/>
        <v>72000</v>
      </c>
      <c r="T863" s="48">
        <f t="shared" si="548"/>
        <v>0</v>
      </c>
      <c r="W863" s="28">
        <v>535</v>
      </c>
      <c r="X863" s="105">
        <v>1.41</v>
      </c>
      <c r="Y863" s="105">
        <v>9.4</v>
      </c>
      <c r="Z863" s="73" t="s">
        <v>499</v>
      </c>
      <c r="AA863" s="28">
        <v>150</v>
      </c>
    </row>
    <row r="864" spans="1:27" x14ac:dyDescent="0.25">
      <c r="A864" s="4"/>
      <c r="B864" s="98" t="s">
        <v>458</v>
      </c>
      <c r="C864" s="75" t="s">
        <v>454</v>
      </c>
      <c r="D864" s="75" t="s">
        <v>377</v>
      </c>
      <c r="E864" s="28">
        <f t="shared" si="542"/>
        <v>92154</v>
      </c>
      <c r="F864" s="143" t="str">
        <f>INDEX(PV_Summary!$B$18:$B$118,MATCH($E864,PV_Summary!$A$18:$A$118,0))</f>
        <v>S</v>
      </c>
      <c r="G864" s="123">
        <v>32.551290999999999</v>
      </c>
      <c r="H864" s="61">
        <v>-116.941587</v>
      </c>
      <c r="I864" s="44" t="s">
        <v>37</v>
      </c>
      <c r="J864" s="46">
        <f t="shared" si="555"/>
        <v>0.75</v>
      </c>
      <c r="K864" s="100"/>
      <c r="L864" s="44" t="str">
        <f t="shared" si="541"/>
        <v/>
      </c>
      <c r="M864" s="46">
        <f t="shared" si="556"/>
        <v>0.75</v>
      </c>
      <c r="N864" s="46"/>
      <c r="O864" s="41">
        <f t="shared" si="536"/>
        <v>0</v>
      </c>
      <c r="P864" s="42">
        <v>10000</v>
      </c>
      <c r="Q864" s="44" t="s">
        <v>37</v>
      </c>
      <c r="R864" s="28" t="s">
        <v>56</v>
      </c>
      <c r="S864" s="48">
        <f t="shared" si="545"/>
        <v>60000</v>
      </c>
      <c r="T864" s="48">
        <f t="shared" si="548"/>
        <v>0</v>
      </c>
      <c r="W864" s="28">
        <v>535</v>
      </c>
      <c r="X864" s="105">
        <v>1.41</v>
      </c>
      <c r="Y864" s="105">
        <v>9.4</v>
      </c>
      <c r="Z864" s="73" t="s">
        <v>499</v>
      </c>
      <c r="AA864" s="28">
        <v>150</v>
      </c>
    </row>
    <row r="865" spans="1:27" x14ac:dyDescent="0.25">
      <c r="A865" s="4"/>
      <c r="B865" s="98" t="s">
        <v>459</v>
      </c>
      <c r="C865" s="75" t="s">
        <v>454</v>
      </c>
      <c r="D865" s="75" t="s">
        <v>377</v>
      </c>
      <c r="E865" s="28">
        <f t="shared" si="542"/>
        <v>92154</v>
      </c>
      <c r="F865" s="143" t="str">
        <f>INDEX(PV_Summary!$B$18:$B$118,MATCH($E865,PV_Summary!$A$18:$A$118,0))</f>
        <v>S</v>
      </c>
      <c r="G865" s="123">
        <v>32.550479000000003</v>
      </c>
      <c r="H865" s="61">
        <v>-116.944182</v>
      </c>
      <c r="I865" s="44" t="s">
        <v>37</v>
      </c>
      <c r="J865" s="46">
        <f t="shared" si="555"/>
        <v>0.75</v>
      </c>
      <c r="K865" s="100"/>
      <c r="L865" s="44" t="str">
        <f t="shared" si="541"/>
        <v/>
      </c>
      <c r="M865" s="46">
        <f t="shared" si="556"/>
        <v>0.75</v>
      </c>
      <c r="N865" s="46"/>
      <c r="O865" s="41">
        <f t="shared" si="536"/>
        <v>0</v>
      </c>
      <c r="P865" s="42">
        <v>103000</v>
      </c>
      <c r="Q865" s="44" t="s">
        <v>37</v>
      </c>
      <c r="R865" s="28" t="s">
        <v>55</v>
      </c>
      <c r="S865" s="48">
        <f t="shared" si="545"/>
        <v>721000</v>
      </c>
      <c r="T865" s="48">
        <f t="shared" si="548"/>
        <v>0</v>
      </c>
      <c r="W865" s="28">
        <v>535</v>
      </c>
      <c r="X865" s="105">
        <v>1.41</v>
      </c>
      <c r="Y865" s="105">
        <v>9.4</v>
      </c>
      <c r="Z865" s="73" t="s">
        <v>499</v>
      </c>
      <c r="AA865" s="28">
        <v>50</v>
      </c>
    </row>
    <row r="866" spans="1:27" x14ac:dyDescent="0.25">
      <c r="A866" s="4"/>
      <c r="B866" s="98" t="s">
        <v>460</v>
      </c>
      <c r="C866" s="75" t="s">
        <v>454</v>
      </c>
      <c r="D866" s="75" t="s">
        <v>377</v>
      </c>
      <c r="E866" s="28">
        <f t="shared" si="542"/>
        <v>92154</v>
      </c>
      <c r="F866" s="143" t="str">
        <f>INDEX(PV_Summary!$B$18:$B$118,MATCH($E866,PV_Summary!$A$18:$A$118,0))</f>
        <v>S</v>
      </c>
      <c r="G866" s="123">
        <v>32.550581000000001</v>
      </c>
      <c r="H866" s="61">
        <v>-116.942123</v>
      </c>
      <c r="I866" s="44" t="s">
        <v>37</v>
      </c>
      <c r="J866" s="46">
        <f t="shared" si="555"/>
        <v>0.75</v>
      </c>
      <c r="K866" s="100"/>
      <c r="L866" s="44" t="str">
        <f t="shared" si="541"/>
        <v/>
      </c>
      <c r="M866" s="46">
        <f t="shared" si="556"/>
        <v>0.75</v>
      </c>
      <c r="N866" s="46"/>
      <c r="O866" s="41">
        <f t="shared" si="536"/>
        <v>0</v>
      </c>
      <c r="P866" s="42">
        <v>98700</v>
      </c>
      <c r="Q866" s="44" t="s">
        <v>37</v>
      </c>
      <c r="R866" s="28" t="s">
        <v>55</v>
      </c>
      <c r="S866" s="48">
        <f t="shared" si="545"/>
        <v>690900</v>
      </c>
      <c r="T866" s="48">
        <f t="shared" si="548"/>
        <v>0</v>
      </c>
      <c r="W866" s="28">
        <v>535</v>
      </c>
      <c r="X866" s="105">
        <v>1.41</v>
      </c>
      <c r="Y866" s="105">
        <v>9.4</v>
      </c>
      <c r="Z866" s="73" t="s">
        <v>499</v>
      </c>
      <c r="AA866" s="28">
        <v>50</v>
      </c>
    </row>
    <row r="867" spans="1:27" x14ac:dyDescent="0.25">
      <c r="A867" s="4"/>
      <c r="B867" s="62" t="s">
        <v>461</v>
      </c>
      <c r="C867" s="75" t="s">
        <v>462</v>
      </c>
      <c r="D867" s="75" t="s">
        <v>377</v>
      </c>
      <c r="E867" s="28">
        <f t="shared" si="542"/>
        <v>92154</v>
      </c>
      <c r="F867" s="143" t="str">
        <f>INDEX(PV_Summary!$B$18:$B$118,MATCH($E867,PV_Summary!$A$18:$A$118,0))</f>
        <v>S</v>
      </c>
      <c r="G867" s="123">
        <v>32.551090000000002</v>
      </c>
      <c r="H867" s="61">
        <v>-116.940034</v>
      </c>
      <c r="I867" s="44" t="s">
        <v>210</v>
      </c>
      <c r="J867" s="46">
        <f t="shared" ca="1" si="555"/>
        <v>1</v>
      </c>
      <c r="K867" s="100" t="s">
        <v>157</v>
      </c>
      <c r="L867" s="44" t="str">
        <f t="shared" ca="1" si="541"/>
        <v/>
      </c>
      <c r="M867" s="46">
        <f t="shared" ca="1" si="556"/>
        <v>1</v>
      </c>
      <c r="N867" s="46"/>
      <c r="O867" s="41">
        <f t="shared" ca="1" si="536"/>
        <v>1</v>
      </c>
      <c r="Q867" s="44" t="s">
        <v>172</v>
      </c>
      <c r="S867" s="48">
        <f t="shared" si="545"/>
        <v>0</v>
      </c>
      <c r="T867" s="48">
        <f t="shared" ca="1" si="548"/>
        <v>0</v>
      </c>
      <c r="W867" s="28"/>
      <c r="X867" s="105"/>
      <c r="Y867" s="105"/>
      <c r="Z867" s="73"/>
      <c r="AA867" s="28"/>
    </row>
    <row r="868" spans="1:27" x14ac:dyDescent="0.25">
      <c r="A868" s="4"/>
      <c r="B868" s="62" t="s">
        <v>471</v>
      </c>
      <c r="C868" s="75" t="s">
        <v>470</v>
      </c>
      <c r="D868" s="75" t="s">
        <v>377</v>
      </c>
      <c r="E868" s="28">
        <f t="shared" si="542"/>
        <v>92154</v>
      </c>
      <c r="F868" s="143" t="str">
        <f>INDEX(PV_Summary!$B$18:$B$118,MATCH($E868,PV_Summary!$A$18:$A$118,0))</f>
        <v>S</v>
      </c>
      <c r="G868" s="123">
        <v>32.562801</v>
      </c>
      <c r="H868" s="61">
        <v>-116.938339</v>
      </c>
      <c r="I868" s="44" t="s">
        <v>37</v>
      </c>
      <c r="J868" s="46">
        <f t="shared" ca="1" si="555"/>
        <v>1</v>
      </c>
      <c r="K868" s="100"/>
      <c r="L868" s="44" t="str">
        <f t="shared" ca="1" si="541"/>
        <v/>
      </c>
      <c r="M868" s="46">
        <f t="shared" ca="1" si="556"/>
        <v>1</v>
      </c>
      <c r="N868" s="46"/>
      <c r="O868" s="41">
        <f t="shared" ca="1" si="536"/>
        <v>1</v>
      </c>
      <c r="P868" s="42">
        <v>281000</v>
      </c>
      <c r="Q868" s="44" t="s">
        <v>37</v>
      </c>
      <c r="R868" s="28" t="s">
        <v>55</v>
      </c>
      <c r="S868" s="48">
        <f t="shared" si="545"/>
        <v>1967000</v>
      </c>
      <c r="T868" s="48">
        <f t="shared" ca="1" si="548"/>
        <v>1967000</v>
      </c>
      <c r="U868" s="28" t="s">
        <v>615</v>
      </c>
      <c r="W868" s="28">
        <v>535</v>
      </c>
      <c r="X868" s="105">
        <v>1.41</v>
      </c>
      <c r="Y868" s="105">
        <v>9.4</v>
      </c>
      <c r="Z868" s="73" t="s">
        <v>499</v>
      </c>
      <c r="AA868" s="28">
        <v>200</v>
      </c>
    </row>
    <row r="869" spans="1:27" x14ac:dyDescent="0.25">
      <c r="A869" s="4"/>
      <c r="B869" s="62" t="s">
        <v>473</v>
      </c>
      <c r="C869" s="75" t="s">
        <v>472</v>
      </c>
      <c r="D869" s="75" t="s">
        <v>377</v>
      </c>
      <c r="E869" s="28">
        <f t="shared" si="542"/>
        <v>92154</v>
      </c>
      <c r="F869" s="143" t="str">
        <f>INDEX(PV_Summary!$B$18:$B$118,MATCH($E869,PV_Summary!$A$18:$A$118,0))</f>
        <v>S</v>
      </c>
      <c r="G869" s="123">
        <v>32.565218000000002</v>
      </c>
      <c r="H869" s="61">
        <v>-116.93745800000001</v>
      </c>
      <c r="I869" s="44" t="s">
        <v>37</v>
      </c>
      <c r="J869" s="46">
        <f t="shared" ca="1" si="555"/>
        <v>1</v>
      </c>
      <c r="K869" s="100"/>
      <c r="L869" s="44" t="str">
        <f t="shared" ca="1" si="541"/>
        <v/>
      </c>
      <c r="M869" s="46">
        <f t="shared" ca="1" si="556"/>
        <v>1</v>
      </c>
      <c r="N869" s="46"/>
      <c r="O869" s="41">
        <f t="shared" ca="1" si="536"/>
        <v>1</v>
      </c>
      <c r="P869" s="42">
        <v>194000</v>
      </c>
      <c r="Q869" s="44" t="s">
        <v>37</v>
      </c>
      <c r="R869" s="28" t="s">
        <v>55</v>
      </c>
      <c r="S869" s="48">
        <f t="shared" si="545"/>
        <v>1358000</v>
      </c>
      <c r="T869" s="48">
        <f t="shared" ca="1" si="548"/>
        <v>1358000</v>
      </c>
      <c r="U869" s="28" t="s">
        <v>615</v>
      </c>
      <c r="W869" s="28">
        <v>535</v>
      </c>
      <c r="X869" s="105">
        <v>1.41</v>
      </c>
      <c r="Y869" s="105">
        <v>9.4</v>
      </c>
      <c r="Z869" s="73" t="s">
        <v>499</v>
      </c>
      <c r="AA869" s="28">
        <v>800</v>
      </c>
    </row>
    <row r="870" spans="1:27" x14ac:dyDescent="0.25">
      <c r="A870" s="4"/>
      <c r="B870" s="62" t="s">
        <v>474</v>
      </c>
      <c r="C870" s="75" t="s">
        <v>475</v>
      </c>
      <c r="D870" s="75" t="s">
        <v>377</v>
      </c>
      <c r="E870" s="28">
        <f t="shared" si="542"/>
        <v>92154</v>
      </c>
      <c r="F870" s="143" t="str">
        <f>INDEX(PV_Summary!$B$18:$B$118,MATCH($E870,PV_Summary!$A$18:$A$118,0))</f>
        <v>S</v>
      </c>
      <c r="G870" s="123">
        <v>32.567056000000001</v>
      </c>
      <c r="H870" s="61">
        <v>-116.939639</v>
      </c>
      <c r="I870" s="44" t="s">
        <v>210</v>
      </c>
      <c r="J870" s="46">
        <f t="shared" ca="1" si="555"/>
        <v>1</v>
      </c>
      <c r="K870" s="100" t="s">
        <v>157</v>
      </c>
      <c r="L870" s="44" t="str">
        <f t="shared" ca="1" si="541"/>
        <v/>
      </c>
      <c r="M870" s="46">
        <f t="shared" ca="1" si="556"/>
        <v>1</v>
      </c>
      <c r="N870" s="46"/>
      <c r="O870" s="41">
        <f t="shared" ca="1" si="536"/>
        <v>1</v>
      </c>
      <c r="Q870" s="44" t="s">
        <v>172</v>
      </c>
      <c r="S870" s="48">
        <f t="shared" si="545"/>
        <v>0</v>
      </c>
      <c r="T870" s="48">
        <f t="shared" ref="T870:T884" ca="1" si="557">SUMIF($C:$C,$C870,$S:$S)*IF($O870&gt;=1,1,0)</f>
        <v>0</v>
      </c>
      <c r="W870" s="28"/>
      <c r="X870" s="105"/>
      <c r="Y870" s="105"/>
      <c r="Z870" s="73"/>
      <c r="AA870" s="28"/>
    </row>
    <row r="871" spans="1:27" x14ac:dyDescent="0.25">
      <c r="A871" s="4"/>
      <c r="B871" s="62" t="s">
        <v>476</v>
      </c>
      <c r="C871" s="75" t="s">
        <v>477</v>
      </c>
      <c r="D871" s="75" t="s">
        <v>377</v>
      </c>
      <c r="E871" s="28">
        <f t="shared" si="542"/>
        <v>92154</v>
      </c>
      <c r="F871" s="143" t="str">
        <f>INDEX(PV_Summary!$B$18:$B$118,MATCH($E871,PV_Summary!$A$18:$A$118,0))</f>
        <v>S</v>
      </c>
      <c r="G871" s="123">
        <v>32.565238399999998</v>
      </c>
      <c r="H871" s="61">
        <v>-116.9741495</v>
      </c>
      <c r="I871" s="44" t="s">
        <v>37</v>
      </c>
      <c r="J871" s="46">
        <f t="shared" ca="1" si="555"/>
        <v>1</v>
      </c>
      <c r="K871" s="100"/>
      <c r="L871" s="44" t="str">
        <f t="shared" ca="1" si="541"/>
        <v/>
      </c>
      <c r="M871" s="46">
        <f t="shared" ca="1" si="556"/>
        <v>1</v>
      </c>
      <c r="N871" s="46"/>
      <c r="O871" s="41">
        <f t="shared" ca="1" si="536"/>
        <v>1</v>
      </c>
      <c r="P871" s="42">
        <v>172000</v>
      </c>
      <c r="Q871" s="44" t="s">
        <v>37</v>
      </c>
      <c r="R871" s="28" t="s">
        <v>55</v>
      </c>
      <c r="S871" s="48">
        <f t="shared" si="545"/>
        <v>1204000</v>
      </c>
      <c r="T871" s="48">
        <f t="shared" ca="1" si="557"/>
        <v>1204000</v>
      </c>
      <c r="W871" s="28">
        <v>534</v>
      </c>
      <c r="X871" s="105">
        <v>1.03</v>
      </c>
      <c r="Y871" s="105">
        <v>6.87</v>
      </c>
      <c r="Z871" s="73" t="s">
        <v>499</v>
      </c>
      <c r="AA871" s="28">
        <v>250</v>
      </c>
    </row>
    <row r="872" spans="1:27" x14ac:dyDescent="0.25">
      <c r="A872" s="4"/>
      <c r="B872" s="62" t="s">
        <v>478</v>
      </c>
      <c r="C872" s="75" t="s">
        <v>479</v>
      </c>
      <c r="D872" s="75" t="s">
        <v>377</v>
      </c>
      <c r="E872" s="28">
        <f t="shared" si="542"/>
        <v>92154</v>
      </c>
      <c r="F872" s="143" t="str">
        <f>INDEX(PV_Summary!$B$18:$B$118,MATCH($E872,PV_Summary!$A$18:$A$118,0))</f>
        <v>S</v>
      </c>
      <c r="G872" s="123">
        <v>32.566302</v>
      </c>
      <c r="H872" s="61">
        <v>-116.978606</v>
      </c>
      <c r="I872" s="44" t="s">
        <v>37</v>
      </c>
      <c r="J872" s="46">
        <f t="shared" ca="1" si="555"/>
        <v>1</v>
      </c>
      <c r="K872" s="100"/>
      <c r="L872" s="44" t="str">
        <f t="shared" ca="1" si="541"/>
        <v/>
      </c>
      <c r="M872" s="46">
        <f t="shared" ca="1" si="556"/>
        <v>1</v>
      </c>
      <c r="N872" s="46"/>
      <c r="O872" s="41">
        <f t="shared" ca="1" si="536"/>
        <v>1</v>
      </c>
      <c r="P872" s="42">
        <v>174000</v>
      </c>
      <c r="Q872" s="44" t="s">
        <v>37</v>
      </c>
      <c r="R872" s="28" t="s">
        <v>55</v>
      </c>
      <c r="S872" s="48">
        <f t="shared" si="545"/>
        <v>1218000</v>
      </c>
      <c r="T872" s="48">
        <f t="shared" ca="1" si="557"/>
        <v>1218000</v>
      </c>
      <c r="W872" s="28">
        <v>534</v>
      </c>
      <c r="X872" s="105">
        <v>1.03</v>
      </c>
      <c r="Y872" s="105">
        <v>6.87</v>
      </c>
      <c r="Z872" s="73" t="s">
        <v>499</v>
      </c>
      <c r="AA872" s="28">
        <v>200</v>
      </c>
    </row>
    <row r="873" spans="1:27" x14ac:dyDescent="0.25">
      <c r="A873" s="4"/>
      <c r="B873" s="62" t="s">
        <v>480</v>
      </c>
      <c r="C873" s="75" t="s">
        <v>481</v>
      </c>
      <c r="D873" s="75" t="s">
        <v>377</v>
      </c>
      <c r="E873" s="28">
        <f t="shared" si="542"/>
        <v>92154</v>
      </c>
      <c r="F873" s="143" t="str">
        <f>INDEX(PV_Summary!$B$18:$B$118,MATCH($E873,PV_Summary!$A$18:$A$118,0))</f>
        <v>S</v>
      </c>
      <c r="G873" s="123">
        <v>32.577052000000002</v>
      </c>
      <c r="H873" s="61">
        <v>-116.994086</v>
      </c>
      <c r="I873" s="44" t="s">
        <v>3</v>
      </c>
      <c r="J873" s="46">
        <f t="shared" ca="1" si="555"/>
        <v>1</v>
      </c>
      <c r="K873" s="100"/>
      <c r="L873" s="44" t="str">
        <f t="shared" ca="1" si="541"/>
        <v/>
      </c>
      <c r="M873" s="46">
        <f t="shared" ca="1" si="556"/>
        <v>1</v>
      </c>
      <c r="N873" s="46"/>
      <c r="O873" s="41">
        <f t="shared" ca="1" si="536"/>
        <v>1</v>
      </c>
      <c r="P873" s="42">
        <v>150000</v>
      </c>
      <c r="Q873" s="44" t="s">
        <v>3</v>
      </c>
      <c r="R873" s="28" t="s">
        <v>56</v>
      </c>
      <c r="S873" s="48">
        <f t="shared" si="545"/>
        <v>750000</v>
      </c>
      <c r="T873" s="48">
        <f t="shared" ca="1" si="557"/>
        <v>750000</v>
      </c>
      <c r="U873" s="28" t="s">
        <v>744</v>
      </c>
      <c r="W873" s="28" t="s">
        <v>748</v>
      </c>
      <c r="X873" s="105"/>
      <c r="Y873" s="105"/>
      <c r="Z873" s="73" t="s">
        <v>1091</v>
      </c>
      <c r="AA873" s="28"/>
    </row>
    <row r="874" spans="1:27" x14ac:dyDescent="0.25">
      <c r="A874" s="4"/>
      <c r="B874" s="62" t="s">
        <v>482</v>
      </c>
      <c r="C874" s="75" t="s">
        <v>483</v>
      </c>
      <c r="D874" s="75" t="s">
        <v>377</v>
      </c>
      <c r="E874" s="28">
        <f t="shared" si="542"/>
        <v>92154</v>
      </c>
      <c r="F874" s="143" t="str">
        <f>INDEX(PV_Summary!$B$18:$B$118,MATCH($E874,PV_Summary!$A$18:$A$118,0))</f>
        <v>S</v>
      </c>
      <c r="G874" s="123">
        <v>32.572881000000002</v>
      </c>
      <c r="H874" s="61">
        <v>-117.003433</v>
      </c>
      <c r="I874" s="44" t="s">
        <v>69</v>
      </c>
      <c r="J874" s="46">
        <f t="shared" ca="1" si="555"/>
        <v>1.5</v>
      </c>
      <c r="K874" s="100"/>
      <c r="L874" s="44" t="str">
        <f t="shared" ca="1" si="541"/>
        <v>Total</v>
      </c>
      <c r="M874" s="46">
        <f t="shared" ca="1" si="556"/>
        <v>1.25</v>
      </c>
      <c r="N874" s="46"/>
      <c r="O874" s="41">
        <f t="shared" ca="1" si="536"/>
        <v>11</v>
      </c>
      <c r="Q874" s="44"/>
      <c r="S874" s="48">
        <f t="shared" si="545"/>
        <v>0</v>
      </c>
      <c r="T874" s="48">
        <f t="shared" ca="1" si="557"/>
        <v>6283000</v>
      </c>
      <c r="U874" s="28" t="s">
        <v>744</v>
      </c>
      <c r="W874" s="28" t="s">
        <v>748</v>
      </c>
      <c r="X874" s="105"/>
      <c r="Y874" s="105"/>
      <c r="Z874" s="73" t="s">
        <v>1091</v>
      </c>
      <c r="AA874" s="28"/>
    </row>
    <row r="875" spans="1:27" x14ac:dyDescent="0.25">
      <c r="A875" s="4"/>
      <c r="B875" s="98" t="s">
        <v>484</v>
      </c>
      <c r="C875" s="75" t="s">
        <v>483</v>
      </c>
      <c r="D875" s="75" t="s">
        <v>377</v>
      </c>
      <c r="E875" s="28">
        <f t="shared" si="542"/>
        <v>92154</v>
      </c>
      <c r="F875" s="143" t="str">
        <f>INDEX(PV_Summary!$B$18:$B$118,MATCH($E875,PV_Summary!$A$18:$A$118,0))</f>
        <v>S</v>
      </c>
      <c r="G875" s="123">
        <v>32.574888000000001</v>
      </c>
      <c r="H875" s="61">
        <v>-117.004757</v>
      </c>
      <c r="I875" s="44" t="s">
        <v>37</v>
      </c>
      <c r="J875" s="46">
        <f t="shared" si="555"/>
        <v>0.75</v>
      </c>
      <c r="K875" s="100"/>
      <c r="L875" s="44" t="str">
        <f t="shared" si="541"/>
        <v/>
      </c>
      <c r="M875" s="46">
        <f t="shared" si="556"/>
        <v>0.75</v>
      </c>
      <c r="N875" s="46"/>
      <c r="O875" s="41">
        <f t="shared" ref="O875:O884" si="558">IF($C875=$C874,0,COUNTIFS(Address,$C875))</f>
        <v>0</v>
      </c>
      <c r="P875" s="42">
        <v>137000</v>
      </c>
      <c r="Q875" s="44" t="s">
        <v>37</v>
      </c>
      <c r="R875" s="28" t="s">
        <v>55</v>
      </c>
      <c r="S875" s="48">
        <f t="shared" si="545"/>
        <v>959000</v>
      </c>
      <c r="T875" s="48">
        <f t="shared" si="557"/>
        <v>0</v>
      </c>
      <c r="U875" s="28" t="s">
        <v>744</v>
      </c>
      <c r="W875" s="28" t="s">
        <v>748</v>
      </c>
      <c r="X875" s="105"/>
      <c r="Y875" s="105"/>
      <c r="Z875" s="73" t="s">
        <v>1091</v>
      </c>
      <c r="AA875" s="28"/>
    </row>
    <row r="876" spans="1:27" x14ac:dyDescent="0.25">
      <c r="A876" s="4"/>
      <c r="B876" s="98" t="s">
        <v>410</v>
      </c>
      <c r="C876" s="75" t="s">
        <v>483</v>
      </c>
      <c r="D876" s="75" t="s">
        <v>377</v>
      </c>
      <c r="E876" s="28">
        <f t="shared" si="542"/>
        <v>92154</v>
      </c>
      <c r="F876" s="143" t="str">
        <f>INDEX(PV_Summary!$B$18:$B$118,MATCH($E876,PV_Summary!$A$18:$A$118,0))</f>
        <v>S</v>
      </c>
      <c r="G876" s="123">
        <v>32.573667</v>
      </c>
      <c r="H876" s="61">
        <v>-117.004744</v>
      </c>
      <c r="I876" s="44" t="s">
        <v>37</v>
      </c>
      <c r="J876" s="46">
        <f t="shared" si="555"/>
        <v>0.75</v>
      </c>
      <c r="K876" s="100"/>
      <c r="L876" s="44" t="str">
        <f t="shared" si="541"/>
        <v/>
      </c>
      <c r="M876" s="46">
        <f t="shared" si="556"/>
        <v>0.75</v>
      </c>
      <c r="N876" s="46"/>
      <c r="O876" s="41">
        <f t="shared" si="558"/>
        <v>0</v>
      </c>
      <c r="P876" s="42">
        <v>162000</v>
      </c>
      <c r="Q876" s="44" t="s">
        <v>37</v>
      </c>
      <c r="R876" s="28" t="s">
        <v>55</v>
      </c>
      <c r="S876" s="48">
        <f t="shared" si="545"/>
        <v>1134000</v>
      </c>
      <c r="T876" s="48">
        <f t="shared" si="557"/>
        <v>0</v>
      </c>
      <c r="U876" s="28" t="s">
        <v>744</v>
      </c>
      <c r="W876" s="28" t="s">
        <v>748</v>
      </c>
      <c r="X876" s="105"/>
      <c r="Y876" s="105"/>
      <c r="Z876" s="73" t="s">
        <v>1091</v>
      </c>
      <c r="AA876" s="28"/>
    </row>
    <row r="877" spans="1:27" x14ac:dyDescent="0.25">
      <c r="A877" s="4"/>
      <c r="B877" s="98" t="s">
        <v>485</v>
      </c>
      <c r="C877" s="75" t="s">
        <v>483</v>
      </c>
      <c r="D877" s="75" t="s">
        <v>377</v>
      </c>
      <c r="E877" s="28">
        <f t="shared" si="542"/>
        <v>92154</v>
      </c>
      <c r="F877" s="143" t="str">
        <f>INDEX(PV_Summary!$B$18:$B$118,MATCH($E877,PV_Summary!$A$18:$A$118,0))</f>
        <v>S</v>
      </c>
      <c r="G877" s="123">
        <v>32.574266000000001</v>
      </c>
      <c r="H877" s="61">
        <v>-117.00639200000001</v>
      </c>
      <c r="I877" s="44" t="s">
        <v>37</v>
      </c>
      <c r="J877" s="46">
        <f t="shared" si="555"/>
        <v>0.75</v>
      </c>
      <c r="K877" s="100"/>
      <c r="L877" s="44" t="str">
        <f t="shared" si="541"/>
        <v/>
      </c>
      <c r="M877" s="46">
        <f t="shared" si="556"/>
        <v>0.75</v>
      </c>
      <c r="N877" s="46"/>
      <c r="O877" s="41">
        <f t="shared" si="558"/>
        <v>0</v>
      </c>
      <c r="P877" s="42">
        <v>95000</v>
      </c>
      <c r="Q877" s="44" t="s">
        <v>37</v>
      </c>
      <c r="R877" s="28" t="s">
        <v>55</v>
      </c>
      <c r="S877" s="48">
        <f t="shared" si="545"/>
        <v>665000</v>
      </c>
      <c r="T877" s="48">
        <f t="shared" si="557"/>
        <v>0</v>
      </c>
      <c r="U877" s="28" t="s">
        <v>744</v>
      </c>
      <c r="W877" s="28" t="s">
        <v>748</v>
      </c>
      <c r="X877" s="105"/>
      <c r="Y877" s="105"/>
      <c r="Z877" s="73" t="s">
        <v>1091</v>
      </c>
      <c r="AA877" s="28"/>
    </row>
    <row r="878" spans="1:27" x14ac:dyDescent="0.25">
      <c r="A878" s="4"/>
      <c r="B878" s="98" t="s">
        <v>487</v>
      </c>
      <c r="C878" s="75" t="s">
        <v>483</v>
      </c>
      <c r="D878" s="75" t="s">
        <v>377</v>
      </c>
      <c r="E878" s="28">
        <f t="shared" si="542"/>
        <v>92154</v>
      </c>
      <c r="F878" s="143" t="str">
        <f>INDEX(PV_Summary!$B$18:$B$118,MATCH($E878,PV_Summary!$A$18:$A$118,0))</f>
        <v>S</v>
      </c>
      <c r="G878" s="123">
        <v>32.574815999999998</v>
      </c>
      <c r="H878" s="61">
        <v>-117.002815</v>
      </c>
      <c r="I878" s="44" t="s">
        <v>37</v>
      </c>
      <c r="J878" s="46">
        <f t="shared" si="555"/>
        <v>0.75</v>
      </c>
      <c r="K878" s="100"/>
      <c r="L878" s="44" t="str">
        <f t="shared" si="541"/>
        <v/>
      </c>
      <c r="M878" s="46">
        <f t="shared" si="556"/>
        <v>0.75</v>
      </c>
      <c r="N878" s="46"/>
      <c r="O878" s="41">
        <f t="shared" si="558"/>
        <v>0</v>
      </c>
      <c r="P878" s="42">
        <v>55200</v>
      </c>
      <c r="Q878" s="44" t="s">
        <v>37</v>
      </c>
      <c r="R878" s="28" t="s">
        <v>56</v>
      </c>
      <c r="S878" s="48">
        <f t="shared" si="545"/>
        <v>331200</v>
      </c>
      <c r="T878" s="48">
        <f t="shared" si="557"/>
        <v>0</v>
      </c>
      <c r="U878" s="28" t="s">
        <v>744</v>
      </c>
      <c r="W878" s="28" t="s">
        <v>748</v>
      </c>
      <c r="X878" s="105"/>
      <c r="Y878" s="105"/>
      <c r="Z878" s="73" t="s">
        <v>1091</v>
      </c>
      <c r="AA878" s="28"/>
    </row>
    <row r="879" spans="1:27" x14ac:dyDescent="0.25">
      <c r="A879" s="4"/>
      <c r="B879" s="98" t="s">
        <v>488</v>
      </c>
      <c r="C879" s="75" t="s">
        <v>483</v>
      </c>
      <c r="D879" s="75" t="s">
        <v>377</v>
      </c>
      <c r="E879" s="28">
        <f t="shared" si="542"/>
        <v>92154</v>
      </c>
      <c r="F879" s="143" t="str">
        <f>INDEX(PV_Summary!$B$18:$B$118,MATCH($E879,PV_Summary!$A$18:$A$118,0))</f>
        <v>S</v>
      </c>
      <c r="G879" s="123">
        <v>32.574826000000002</v>
      </c>
      <c r="H879" s="61">
        <v>-117.001831</v>
      </c>
      <c r="I879" s="44" t="s">
        <v>37</v>
      </c>
      <c r="J879" s="46">
        <f t="shared" si="555"/>
        <v>0.75</v>
      </c>
      <c r="K879" s="100"/>
      <c r="L879" s="44" t="str">
        <f t="shared" si="541"/>
        <v/>
      </c>
      <c r="M879" s="46">
        <f t="shared" si="556"/>
        <v>0.75</v>
      </c>
      <c r="N879" s="46"/>
      <c r="O879" s="41">
        <f t="shared" si="558"/>
        <v>0</v>
      </c>
      <c r="P879" s="42">
        <v>61900</v>
      </c>
      <c r="Q879" s="44" t="s">
        <v>37</v>
      </c>
      <c r="R879" s="28" t="s">
        <v>56</v>
      </c>
      <c r="S879" s="48">
        <f t="shared" si="545"/>
        <v>371400</v>
      </c>
      <c r="T879" s="48">
        <f t="shared" si="557"/>
        <v>0</v>
      </c>
      <c r="U879" s="28" t="s">
        <v>744</v>
      </c>
      <c r="W879" s="28" t="s">
        <v>748</v>
      </c>
      <c r="X879" s="105"/>
      <c r="Y879" s="105"/>
      <c r="Z879" s="73" t="s">
        <v>1091</v>
      </c>
      <c r="AA879" s="28"/>
    </row>
    <row r="880" spans="1:27" x14ac:dyDescent="0.25">
      <c r="A880" s="4"/>
      <c r="B880" s="98" t="s">
        <v>489</v>
      </c>
      <c r="C880" s="75" t="s">
        <v>483</v>
      </c>
      <c r="D880" s="75" t="s">
        <v>377</v>
      </c>
      <c r="E880" s="28">
        <f t="shared" si="542"/>
        <v>92154</v>
      </c>
      <c r="F880" s="143" t="str">
        <f>INDEX(PV_Summary!$B$18:$B$118,MATCH($E880,PV_Summary!$A$18:$A$118,0))</f>
        <v>S</v>
      </c>
      <c r="G880" s="123">
        <v>32.573551000000002</v>
      </c>
      <c r="H880" s="61">
        <v>-117.00234500000001</v>
      </c>
      <c r="I880" s="44" t="s">
        <v>37</v>
      </c>
      <c r="J880" s="46">
        <f t="shared" ref="J880:J885" si="559">IF(O880&gt;1,Sym_Scl_Aggr_Parent,IF(O880&lt;1,Sym_Scl_Aggr_Child,Sym_Scl_Normal))</f>
        <v>0.75</v>
      </c>
      <c r="K880" s="100"/>
      <c r="L880" s="44" t="str">
        <f t="shared" si="541"/>
        <v/>
      </c>
      <c r="M880" s="46">
        <f t="shared" si="556"/>
        <v>0.75</v>
      </c>
      <c r="N880" s="46"/>
      <c r="O880" s="41">
        <f t="shared" si="558"/>
        <v>0</v>
      </c>
      <c r="P880" s="42">
        <v>84300</v>
      </c>
      <c r="Q880" s="44" t="s">
        <v>37</v>
      </c>
      <c r="R880" s="28" t="s">
        <v>56</v>
      </c>
      <c r="S880" s="48">
        <f t="shared" si="545"/>
        <v>505800</v>
      </c>
      <c r="T880" s="48">
        <f t="shared" si="557"/>
        <v>0</v>
      </c>
      <c r="U880" s="28" t="s">
        <v>744</v>
      </c>
      <c r="W880" s="28" t="s">
        <v>748</v>
      </c>
      <c r="X880" s="105"/>
      <c r="Y880" s="105"/>
      <c r="Z880" s="73" t="s">
        <v>1091</v>
      </c>
      <c r="AA880" s="28"/>
    </row>
    <row r="881" spans="1:27" x14ac:dyDescent="0.25">
      <c r="A881" s="4"/>
      <c r="B881" s="98" t="s">
        <v>490</v>
      </c>
      <c r="C881" s="75" t="s">
        <v>483</v>
      </c>
      <c r="D881" s="75" t="s">
        <v>377</v>
      </c>
      <c r="E881" s="28">
        <f t="shared" si="542"/>
        <v>92154</v>
      </c>
      <c r="F881" s="143" t="str">
        <f>INDEX(PV_Summary!$B$18:$B$118,MATCH($E881,PV_Summary!$A$18:$A$118,0))</f>
        <v>S</v>
      </c>
      <c r="G881" s="123">
        <v>32.572347000000001</v>
      </c>
      <c r="H881" s="61">
        <v>-117.00385799999999</v>
      </c>
      <c r="I881" s="44" t="s">
        <v>37</v>
      </c>
      <c r="J881" s="46">
        <f t="shared" si="559"/>
        <v>0.75</v>
      </c>
      <c r="K881" s="100"/>
      <c r="L881" s="44" t="str">
        <f t="shared" si="541"/>
        <v/>
      </c>
      <c r="M881" s="46">
        <f>IF(O881&gt;1,Label_Scl_Aggr_Parent,IF(O881&lt;1,Label_Scl_Aggr_Child,Label_Scl_Normal))</f>
        <v>0.75</v>
      </c>
      <c r="N881" s="46"/>
      <c r="O881" s="41">
        <f t="shared" si="558"/>
        <v>0</v>
      </c>
      <c r="P881" s="42">
        <v>82400</v>
      </c>
      <c r="Q881" s="44" t="s">
        <v>37</v>
      </c>
      <c r="R881" s="28" t="s">
        <v>56</v>
      </c>
      <c r="S881" s="48">
        <f t="shared" si="545"/>
        <v>494400</v>
      </c>
      <c r="T881" s="48">
        <f t="shared" si="557"/>
        <v>0</v>
      </c>
      <c r="U881" s="28" t="s">
        <v>744</v>
      </c>
      <c r="W881" s="28" t="s">
        <v>748</v>
      </c>
      <c r="X881" s="105"/>
      <c r="Y881" s="105"/>
      <c r="Z881" s="73" t="s">
        <v>1091</v>
      </c>
      <c r="AA881" s="28"/>
    </row>
    <row r="882" spans="1:27" x14ac:dyDescent="0.25">
      <c r="A882" s="4"/>
      <c r="B882" s="98" t="s">
        <v>491</v>
      </c>
      <c r="C882" s="75" t="s">
        <v>483</v>
      </c>
      <c r="D882" s="75" t="s">
        <v>377</v>
      </c>
      <c r="E882" s="28">
        <f t="shared" si="542"/>
        <v>92154</v>
      </c>
      <c r="F882" s="143" t="str">
        <f>INDEX(PV_Summary!$B$18:$B$118,MATCH($E882,PV_Summary!$A$18:$A$118,0))</f>
        <v>S</v>
      </c>
      <c r="G882" s="123">
        <v>32.571550000000002</v>
      </c>
      <c r="H882" s="61">
        <v>-117.00390899999999</v>
      </c>
      <c r="I882" s="44" t="s">
        <v>37</v>
      </c>
      <c r="J882" s="46">
        <f t="shared" si="559"/>
        <v>0.75</v>
      </c>
      <c r="K882" s="100"/>
      <c r="L882" s="44" t="str">
        <f t="shared" si="541"/>
        <v/>
      </c>
      <c r="M882" s="46">
        <f>IF(O882&gt;1,Label_Scl_Aggr_Parent,IF(O882&lt;1,Label_Scl_Aggr_Child,Label_Scl_Normal))</f>
        <v>0.75</v>
      </c>
      <c r="N882" s="46"/>
      <c r="O882" s="41">
        <f t="shared" si="558"/>
        <v>0</v>
      </c>
      <c r="P882" s="42">
        <v>84800</v>
      </c>
      <c r="Q882" s="44" t="s">
        <v>37</v>
      </c>
      <c r="R882" s="28" t="s">
        <v>56</v>
      </c>
      <c r="S882" s="48">
        <f t="shared" si="545"/>
        <v>508800</v>
      </c>
      <c r="T882" s="48">
        <f t="shared" si="557"/>
        <v>0</v>
      </c>
      <c r="U882" s="28" t="s">
        <v>744</v>
      </c>
      <c r="W882" s="28" t="s">
        <v>748</v>
      </c>
      <c r="X882" s="105"/>
      <c r="Y882" s="105"/>
      <c r="Z882" s="73" t="s">
        <v>1091</v>
      </c>
      <c r="AA882" s="28"/>
    </row>
    <row r="883" spans="1:27" x14ac:dyDescent="0.25">
      <c r="A883" s="4"/>
      <c r="B883" s="98" t="s">
        <v>492</v>
      </c>
      <c r="C883" s="75" t="s">
        <v>483</v>
      </c>
      <c r="D883" s="75" t="s">
        <v>377</v>
      </c>
      <c r="E883" s="28">
        <f t="shared" si="542"/>
        <v>92154</v>
      </c>
      <c r="F883" s="143" t="str">
        <f>INDEX(PV_Summary!$B$18:$B$118,MATCH($E883,PV_Summary!$A$18:$A$118,0))</f>
        <v>S</v>
      </c>
      <c r="G883" s="123">
        <v>32.571956</v>
      </c>
      <c r="H883" s="61">
        <v>-117.002015</v>
      </c>
      <c r="I883" s="44" t="s">
        <v>37</v>
      </c>
      <c r="J883" s="46">
        <f t="shared" si="559"/>
        <v>0.75</v>
      </c>
      <c r="K883" s="100"/>
      <c r="L883" s="44" t="str">
        <f t="shared" si="541"/>
        <v/>
      </c>
      <c r="M883" s="46">
        <f>IF(O883&gt;1,Label_Scl_Aggr_Parent,IF(O883&lt;1,Label_Scl_Aggr_Child,Label_Scl_Normal))</f>
        <v>0.75</v>
      </c>
      <c r="N883" s="46"/>
      <c r="O883" s="41">
        <f t="shared" si="558"/>
        <v>0</v>
      </c>
      <c r="P883" s="42">
        <v>92900</v>
      </c>
      <c r="Q883" s="44" t="s">
        <v>37</v>
      </c>
      <c r="R883" s="28" t="s">
        <v>56</v>
      </c>
      <c r="S883" s="48">
        <f t="shared" si="545"/>
        <v>557400</v>
      </c>
      <c r="T883" s="48">
        <f t="shared" si="557"/>
        <v>0</v>
      </c>
      <c r="U883" s="28" t="s">
        <v>744</v>
      </c>
      <c r="W883" s="28" t="s">
        <v>748</v>
      </c>
      <c r="X883" s="105"/>
      <c r="Y883" s="105"/>
      <c r="Z883" s="73" t="s">
        <v>1091</v>
      </c>
      <c r="AA883" s="28"/>
    </row>
    <row r="884" spans="1:27" x14ac:dyDescent="0.25">
      <c r="A884" s="4"/>
      <c r="B884" s="98" t="s">
        <v>493</v>
      </c>
      <c r="C884" s="75" t="s">
        <v>483</v>
      </c>
      <c r="D884" s="75" t="s">
        <v>377</v>
      </c>
      <c r="E884" s="28">
        <f t="shared" si="542"/>
        <v>92154</v>
      </c>
      <c r="F884" s="143" t="str">
        <f>INDEX(PV_Summary!$B$18:$B$118,MATCH($E884,PV_Summary!$A$18:$A$118,0))</f>
        <v>S</v>
      </c>
      <c r="G884" s="123">
        <v>32.570135000000001</v>
      </c>
      <c r="H884" s="61">
        <v>-117.00451200000001</v>
      </c>
      <c r="I884" s="44" t="s">
        <v>37</v>
      </c>
      <c r="J884" s="46">
        <f t="shared" si="559"/>
        <v>0.75</v>
      </c>
      <c r="K884" s="100"/>
      <c r="L884" s="44" t="str">
        <f t="shared" si="541"/>
        <v/>
      </c>
      <c r="M884" s="46">
        <f t="shared" si="556"/>
        <v>0.75</v>
      </c>
      <c r="N884" s="46"/>
      <c r="O884" s="41">
        <f t="shared" si="558"/>
        <v>0</v>
      </c>
      <c r="P884" s="42">
        <v>126000</v>
      </c>
      <c r="Q884" s="44" t="s">
        <v>37</v>
      </c>
      <c r="R884" s="28" t="s">
        <v>56</v>
      </c>
      <c r="S884" s="48">
        <f t="shared" si="545"/>
        <v>756000</v>
      </c>
      <c r="T884" s="48">
        <f t="shared" si="557"/>
        <v>0</v>
      </c>
      <c r="U884" s="28" t="s">
        <v>744</v>
      </c>
      <c r="W884" s="28" t="s">
        <v>748</v>
      </c>
      <c r="X884" s="105"/>
      <c r="Y884" s="105"/>
      <c r="Z884" s="73" t="s">
        <v>1091</v>
      </c>
      <c r="AA884" s="28"/>
    </row>
    <row r="885" spans="1:27" x14ac:dyDescent="0.25">
      <c r="A885" s="28" t="s">
        <v>133</v>
      </c>
      <c r="B885" s="28" t="s">
        <v>133</v>
      </c>
      <c r="C885" s="75" t="s">
        <v>133</v>
      </c>
      <c r="D885" s="28" t="s">
        <v>133</v>
      </c>
      <c r="E885" s="28" t="s">
        <v>133</v>
      </c>
      <c r="F885" s="28" t="s">
        <v>133</v>
      </c>
      <c r="G885" s="123" t="s">
        <v>133</v>
      </c>
      <c r="H885" s="61" t="s">
        <v>133</v>
      </c>
      <c r="I885" s="44" t="s">
        <v>133</v>
      </c>
      <c r="J885" s="46">
        <f t="shared" si="559"/>
        <v>1.5</v>
      </c>
      <c r="K885" s="100" t="s">
        <v>133</v>
      </c>
      <c r="L885" s="44" t="s">
        <v>133</v>
      </c>
      <c r="M885" s="46">
        <f>IF(O885&gt;1,Label_Scl_Aggr_Parent,IF(O885&lt;1,Label_Scl_Aggr_Child,Label_Scl_Normal))</f>
        <v>1.25</v>
      </c>
      <c r="N885" s="46" t="s">
        <v>133</v>
      </c>
      <c r="O885" s="46" t="s">
        <v>133</v>
      </c>
      <c r="P885" s="42" t="s">
        <v>133</v>
      </c>
      <c r="Q885" s="44" t="s">
        <v>133</v>
      </c>
      <c r="R885" s="28" t="s">
        <v>133</v>
      </c>
      <c r="S885" s="48" t="s">
        <v>133</v>
      </c>
      <c r="T885" s="48" t="s">
        <v>133</v>
      </c>
      <c r="U885" s="28" t="s">
        <v>133</v>
      </c>
      <c r="V885" s="28" t="s">
        <v>133</v>
      </c>
      <c r="W885" s="28" t="s">
        <v>133</v>
      </c>
      <c r="X885" s="105" t="s">
        <v>133</v>
      </c>
      <c r="Y885" s="105" t="s">
        <v>133</v>
      </c>
      <c r="Z885" s="105" t="s">
        <v>133</v>
      </c>
      <c r="AA885" s="28" t="s">
        <v>133</v>
      </c>
    </row>
    <row r="886" spans="1:27" x14ac:dyDescent="0.25">
      <c r="P886" s="28"/>
      <c r="Q886" s="28"/>
      <c r="W886" s="28"/>
      <c r="X886" s="28"/>
      <c r="Y886" s="28"/>
      <c r="Z886" s="28"/>
      <c r="AA886" s="28"/>
    </row>
    <row r="887" spans="1:27" x14ac:dyDescent="0.25">
      <c r="C887"/>
      <c r="E887" s="28" t="s">
        <v>239</v>
      </c>
      <c r="G887" s="70">
        <f ca="1">MIN(Lati)</f>
        <v>32.542732000000001</v>
      </c>
      <c r="H887" s="61">
        <f ca="1">MIN(Longi)</f>
        <v>-117.2564</v>
      </c>
      <c r="P887" s="28"/>
      <c r="Q887" s="28"/>
      <c r="R887" s="28" t="s">
        <v>315</v>
      </c>
      <c r="S887" s="48">
        <f ca="1">SUM(Struc_W)</f>
        <v>498653020</v>
      </c>
      <c r="T887" s="48">
        <f ca="1">SUM(Site_Sum_W)</f>
        <v>498653020</v>
      </c>
      <c r="W887" s="28"/>
      <c r="X887" s="28"/>
      <c r="Y887" s="28"/>
      <c r="Z887" s="28"/>
      <c r="AA887" s="28"/>
    </row>
    <row r="888" spans="1:27" x14ac:dyDescent="0.25">
      <c r="C888"/>
      <c r="E888" s="28" t="s">
        <v>240</v>
      </c>
      <c r="G888" s="70">
        <f ca="1">AVERAGE(Lati)</f>
        <v>32.797168270408179</v>
      </c>
      <c r="H888" s="61">
        <f ca="1">AVERAGE(Longi)</f>
        <v>-117.12429771916113</v>
      </c>
      <c r="R888" s="28" t="s">
        <v>486</v>
      </c>
      <c r="S888" s="48">
        <f ca="1">S887-T887</f>
        <v>0</v>
      </c>
    </row>
    <row r="889" spans="1:27" x14ac:dyDescent="0.25">
      <c r="C889"/>
      <c r="E889" s="28" t="s">
        <v>241</v>
      </c>
      <c r="G889" s="70">
        <f ca="1">MAX(Lati)</f>
        <v>33.022494000000002</v>
      </c>
      <c r="H889" s="61">
        <f ca="1">MAX(Longi)</f>
        <v>-116.93745800000001</v>
      </c>
    </row>
    <row r="890" spans="1:27" x14ac:dyDescent="0.25">
      <c r="C890"/>
    </row>
    <row r="891" spans="1:27" x14ac:dyDescent="0.25">
      <c r="E891" s="62" t="s">
        <v>243</v>
      </c>
      <c r="I891" s="28">
        <f ca="1">COUNTIFS(Map_Sym,"")</f>
        <v>4</v>
      </c>
    </row>
  </sheetData>
  <autoFilter ref="B2:AA885" xr:uid="{1A943748-7735-48D1-8AE9-3F5F4315498E}"/>
  <phoneticPr fontId="16" type="noConversion"/>
  <conditionalFormatting sqref="O2:O885">
    <cfRule type="cellIs" dxfId="22" priority="932" operator="equal">
      <formula>0</formula>
    </cfRule>
  </conditionalFormatting>
  <conditionalFormatting sqref="I891">
    <cfRule type="cellIs" dxfId="21" priority="912" operator="greaterThan">
      <formula>0</formula>
    </cfRule>
  </conditionalFormatting>
  <conditionalFormatting sqref="B684:E684 B694:I694 K695:K885 B685:B693 D685:E690 D691:D692 D693:I693 G691:I692 K681:K685 F684:I690 B55 D55:I55 B56:I56 J55:AA56 B683:V683 J684:V684 AA683:AA684 J685:AA694 B3:AA54 B695:AA884 B57:AA682">
    <cfRule type="expression" dxfId="20" priority="37">
      <formula>$O3&gt;=1</formula>
    </cfRule>
  </conditionalFormatting>
  <conditionalFormatting sqref="H3:H885">
    <cfRule type="cellIs" dxfId="19" priority="57" operator="equal">
      <formula>0</formula>
    </cfRule>
    <cfRule type="cellIs" dxfId="18" priority="58" operator="notBetween">
      <formula>MapRectLongiMin</formula>
      <formula>MapRectLongiMax</formula>
    </cfRule>
  </conditionalFormatting>
  <conditionalFormatting sqref="G3:G885">
    <cfRule type="cellIs" dxfId="17" priority="45" operator="equal">
      <formula>0</formula>
    </cfRule>
    <cfRule type="cellIs" dxfId="16" priority="76" operator="notBetween">
      <formula>MapRectLatiMin</formula>
      <formula>MapRectLatiMax</formula>
    </cfRule>
  </conditionalFormatting>
  <conditionalFormatting sqref="A248:A251">
    <cfRule type="expression" dxfId="15" priority="29">
      <formula>$O248&gt;=1</formula>
    </cfRule>
  </conditionalFormatting>
  <conditionalFormatting sqref="K2:K885">
    <cfRule type="cellIs" dxfId="14" priority="7" operator="equal">
      <formula>"Venue"</formula>
    </cfRule>
  </conditionalFormatting>
  <conditionalFormatting sqref="C685">
    <cfRule type="expression" dxfId="13" priority="5">
      <formula>$O685&gt;=1</formula>
    </cfRule>
  </conditionalFormatting>
  <conditionalFormatting sqref="C686:C693">
    <cfRule type="expression" dxfId="12" priority="4">
      <formula>$O686&gt;=1</formula>
    </cfRule>
  </conditionalFormatting>
  <conditionalFormatting sqref="E691:F692">
    <cfRule type="expression" dxfId="11" priority="3">
      <formula>$O691&gt;=1</formula>
    </cfRule>
  </conditionalFormatting>
  <conditionalFormatting sqref="C55">
    <cfRule type="expression" dxfId="10" priority="2">
      <formula>$O55&gt;=1</formula>
    </cfRule>
  </conditionalFormatting>
  <conditionalFormatting sqref="W683:Z684">
    <cfRule type="expression" dxfId="9" priority="1">
      <formula>$O683&gt;=1</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I51"/>
  <sheetViews>
    <sheetView topLeftCell="A43" workbookViewId="0">
      <selection activeCell="H45" sqref="H45"/>
    </sheetView>
  </sheetViews>
  <sheetFormatPr defaultColWidth="8.85546875" defaultRowHeight="15" x14ac:dyDescent="0.25"/>
  <cols>
    <col min="1" max="1" width="19" customWidth="1"/>
    <col min="2" max="2" width="18.85546875" customWidth="1"/>
    <col min="3" max="3" width="20.42578125" customWidth="1"/>
    <col min="4" max="4" width="11.28515625" customWidth="1"/>
    <col min="6" max="6" width="15.42578125" customWidth="1"/>
    <col min="8" max="8" width="11.42578125" customWidth="1"/>
  </cols>
  <sheetData>
    <row r="1" spans="1:9" s="4" customFormat="1" x14ac:dyDescent="0.25">
      <c r="A1" s="4" t="s">
        <v>72</v>
      </c>
    </row>
    <row r="2" spans="1:9" s="4" customFormat="1" x14ac:dyDescent="0.25">
      <c r="A2" s="4" t="s">
        <v>79</v>
      </c>
    </row>
    <row r="3" spans="1:9" s="4" customFormat="1" x14ac:dyDescent="0.25"/>
    <row r="4" spans="1:9" s="4" customFormat="1" x14ac:dyDescent="0.25">
      <c r="A4" s="4" t="s">
        <v>17</v>
      </c>
      <c r="B4" s="6">
        <v>1</v>
      </c>
      <c r="C4" s="4" t="s">
        <v>103</v>
      </c>
      <c r="H4" s="7" t="s">
        <v>177</v>
      </c>
      <c r="I4" s="55" t="s">
        <v>176</v>
      </c>
    </row>
    <row r="5" spans="1:9" s="4" customFormat="1" x14ac:dyDescent="0.25">
      <c r="A5" s="4" t="s">
        <v>14</v>
      </c>
      <c r="B5" s="6">
        <f>MATCH("ZZZ-END",Data!B:B,0)-3</f>
        <v>882</v>
      </c>
      <c r="C5" s="4" t="s">
        <v>149</v>
      </c>
      <c r="H5" s="7" t="s">
        <v>183</v>
      </c>
      <c r="I5" s="6">
        <f>IF($I$4="DC",1,IF(I4="AC",0,"Type DC or AC above"))</f>
        <v>0</v>
      </c>
    </row>
    <row r="6" spans="1:9" s="4" customFormat="1" x14ac:dyDescent="0.25">
      <c r="A6" s="4" t="s">
        <v>153</v>
      </c>
      <c r="B6" s="6">
        <v>0.5</v>
      </c>
      <c r="C6" s="4" t="s">
        <v>156</v>
      </c>
    </row>
    <row r="7" spans="1:9" s="4" customFormat="1" x14ac:dyDescent="0.25">
      <c r="A7" s="4" t="s">
        <v>154</v>
      </c>
      <c r="B7" s="6">
        <v>2</v>
      </c>
      <c r="C7" s="4" t="s">
        <v>155</v>
      </c>
    </row>
    <row r="8" spans="1:9" s="4" customFormat="1" x14ac:dyDescent="0.25">
      <c r="A8" s="4" t="s">
        <v>166</v>
      </c>
      <c r="B8" s="6">
        <v>0.5</v>
      </c>
      <c r="C8" s="4" t="s">
        <v>169</v>
      </c>
    </row>
    <row r="9" spans="1:9" s="4" customFormat="1" x14ac:dyDescent="0.25">
      <c r="A9" s="4" t="s">
        <v>167</v>
      </c>
      <c r="B9" s="6">
        <v>2</v>
      </c>
      <c r="C9" s="4" t="s">
        <v>168</v>
      </c>
    </row>
    <row r="10" spans="1:9" s="4" customFormat="1" x14ac:dyDescent="0.25">
      <c r="B10" s="6"/>
    </row>
    <row r="11" spans="1:9" s="4" customFormat="1" x14ac:dyDescent="0.25">
      <c r="A11" s="4" t="s">
        <v>298</v>
      </c>
      <c r="B11" s="6">
        <v>33.200000000000003</v>
      </c>
      <c r="C11" s="4" t="s">
        <v>312</v>
      </c>
    </row>
    <row r="12" spans="1:9" s="4" customFormat="1" x14ac:dyDescent="0.25">
      <c r="A12" s="4" t="s">
        <v>299</v>
      </c>
      <c r="B12" s="6">
        <v>32.5</v>
      </c>
    </row>
    <row r="13" spans="1:9" s="4" customFormat="1" x14ac:dyDescent="0.25">
      <c r="A13" s="4" t="s">
        <v>300</v>
      </c>
      <c r="B13" s="6">
        <v>-116.7</v>
      </c>
    </row>
    <row r="14" spans="1:9" s="4" customFormat="1" x14ac:dyDescent="0.25">
      <c r="A14" s="4" t="s">
        <v>301</v>
      </c>
      <c r="B14" s="6">
        <v>-117.3</v>
      </c>
    </row>
    <row r="15" spans="1:9" s="4" customFormat="1" x14ac:dyDescent="0.25">
      <c r="B15" s="6"/>
    </row>
    <row r="16" spans="1:9" s="4" customFormat="1" x14ac:dyDescent="0.25">
      <c r="A16" s="4" t="s">
        <v>306</v>
      </c>
      <c r="B16" s="6">
        <v>1.5</v>
      </c>
      <c r="C16" s="4" t="s">
        <v>314</v>
      </c>
    </row>
    <row r="17" spans="1:8" s="4" customFormat="1" x14ac:dyDescent="0.25">
      <c r="A17" s="4" t="s">
        <v>307</v>
      </c>
      <c r="B17" s="6">
        <v>0.75</v>
      </c>
    </row>
    <row r="18" spans="1:8" s="4" customFormat="1" x14ac:dyDescent="0.25">
      <c r="A18" s="4" t="s">
        <v>308</v>
      </c>
      <c r="B18" s="6">
        <v>1</v>
      </c>
    </row>
    <row r="19" spans="1:8" s="4" customFormat="1" x14ac:dyDescent="0.25">
      <c r="A19" s="4" t="s">
        <v>309</v>
      </c>
      <c r="B19" s="6">
        <v>1.25</v>
      </c>
    </row>
    <row r="20" spans="1:8" s="4" customFormat="1" x14ac:dyDescent="0.25">
      <c r="A20" s="4" t="s">
        <v>310</v>
      </c>
      <c r="B20" s="6">
        <v>0.75</v>
      </c>
    </row>
    <row r="21" spans="1:8" s="4" customFormat="1" x14ac:dyDescent="0.25">
      <c r="A21" s="4" t="s">
        <v>311</v>
      </c>
      <c r="B21" s="6">
        <v>1</v>
      </c>
    </row>
    <row r="22" spans="1:8" s="4" customFormat="1" x14ac:dyDescent="0.25">
      <c r="B22" s="6"/>
    </row>
    <row r="23" spans="1:8" s="4" customFormat="1" x14ac:dyDescent="0.25">
      <c r="B23" s="6"/>
    </row>
    <row r="24" spans="1:8" x14ac:dyDescent="0.25">
      <c r="A24" s="2" t="s">
        <v>15</v>
      </c>
      <c r="B24" s="3" t="s">
        <v>18</v>
      </c>
      <c r="C24" s="2" t="s">
        <v>67</v>
      </c>
      <c r="D24" s="2" t="s">
        <v>16</v>
      </c>
      <c r="F24" s="2" t="s">
        <v>145</v>
      </c>
      <c r="H24" s="2" t="s">
        <v>146</v>
      </c>
    </row>
    <row r="25" spans="1:8" x14ac:dyDescent="0.25">
      <c r="A25" s="8" t="s">
        <v>13</v>
      </c>
      <c r="B25" s="6">
        <f>MATCH(A25,Data!$2:$2,0)-1</f>
        <v>1</v>
      </c>
      <c r="C25" t="s">
        <v>19</v>
      </c>
      <c r="D25" t="str">
        <f t="array" aca="1" ref="D25" ca="1">OFFSET(Data!$B$2,Data_Row_Bgn,Site_Desc_Col-1,Num_Data_Row,1)</f>
        <v>Pharma_Medical Pkg Garage</v>
      </c>
      <c r="F25" t="str">
        <f ca="1">INDEX(Site_Desc,1)</f>
        <v>Pharma_Medical Pkg Garage</v>
      </c>
      <c r="H25" s="4" t="str">
        <f ca="1">INDEX(Site_Desc,Num_Data_Row)</f>
        <v>Trepco West</v>
      </c>
    </row>
    <row r="26" spans="1:8" x14ac:dyDescent="0.25">
      <c r="A26" s="8" t="s">
        <v>0</v>
      </c>
      <c r="B26" s="6">
        <f>MATCH(A26,Data!$2:$2,0)-1</f>
        <v>2</v>
      </c>
      <c r="C26" s="4" t="s">
        <v>20</v>
      </c>
      <c r="D26" s="4" t="str">
        <f t="array" aca="1" ref="D26" ca="1">OFFSET(Data!$B$2,Data_Row_Bgn,Address_Col-1,Num_Data_Row,1)</f>
        <v>3611-3811 Valley Centre Dr</v>
      </c>
      <c r="F26" t="str">
        <f ca="1">INDEX(Address,1)</f>
        <v>3611-3811 Valley Centre Dr</v>
      </c>
      <c r="H26" s="4" t="str">
        <f ca="1">INDEX(Address,Num_Data_Row)</f>
        <v>1425 Corporate Center Dr</v>
      </c>
    </row>
    <row r="27" spans="1:8" s="4" customFormat="1" x14ac:dyDescent="0.25">
      <c r="A27" s="8" t="s">
        <v>33</v>
      </c>
      <c r="B27" s="6">
        <f>MATCH(A27,Data!$2:$2,0)-1</f>
        <v>3</v>
      </c>
      <c r="C27" s="4" t="s">
        <v>34</v>
      </c>
      <c r="D27" s="4" t="str">
        <f t="array" aca="1" ref="D27" ca="1">OFFSET(Data!$B$2,Data_Row_Bgn,City_ZIP_Col-1,Num_Data_Row,1)</f>
        <v>San Diego, CA 92130</v>
      </c>
      <c r="F27" s="4" t="str">
        <f ca="1">INDEX(City_ZIP,1)</f>
        <v>San Diego, CA 92130</v>
      </c>
      <c r="H27" s="4" t="str">
        <f ca="1">INDEX(City_ZIP,Num_Data_Row)</f>
        <v>San Diego, CA 92154</v>
      </c>
    </row>
    <row r="28" spans="1:8" s="4" customFormat="1" x14ac:dyDescent="0.25">
      <c r="A28" s="8" t="s">
        <v>389</v>
      </c>
      <c r="B28" s="6">
        <f>MATCH(A28,Data!$2:$2,0)-1</f>
        <v>4</v>
      </c>
      <c r="C28" s="4" t="s">
        <v>390</v>
      </c>
      <c r="D28" s="4">
        <f t="array" aca="1" ref="D28" ca="1">OFFSET(Data!$B$2,Data_Row_Bgn,ZIP_5_Col-1,Num_Data_Row,1)</f>
        <v>92130</v>
      </c>
      <c r="F28" s="4">
        <f ca="1">INDEX(ZIP_5,1)</f>
        <v>92130</v>
      </c>
      <c r="H28" s="4">
        <f ca="1">INDEX(ZIP_5,Num_Data_Row)</f>
        <v>92154</v>
      </c>
    </row>
    <row r="29" spans="1:8" s="4" customFormat="1" x14ac:dyDescent="0.25">
      <c r="A29" s="8" t="s">
        <v>29</v>
      </c>
      <c r="B29" s="6">
        <f>MATCH(A29,Data!$2:$2,0)-1</f>
        <v>6</v>
      </c>
      <c r="C29" s="4" t="s">
        <v>31</v>
      </c>
      <c r="D29" s="4">
        <f t="array" aca="1" ref="D29" ca="1">OFFSET(Data!$B$2,Data_Row_Bgn,Lati_Col-1,Num_Data_Row,1)</f>
        <v>32.937114999999999</v>
      </c>
      <c r="F29" s="4">
        <f ca="1">INDEX(Lati,1)</f>
        <v>32.937114999999999</v>
      </c>
      <c r="H29" s="4">
        <f ca="1">INDEX(Lati,Num_Data_Row)</f>
        <v>32.570135000000001</v>
      </c>
    </row>
    <row r="30" spans="1:8" x14ac:dyDescent="0.25">
      <c r="A30" s="8" t="s">
        <v>30</v>
      </c>
      <c r="B30" s="6">
        <f>MATCH(A30,Data!$2:$2,0)-1</f>
        <v>7</v>
      </c>
      <c r="C30" s="4" t="s">
        <v>32</v>
      </c>
      <c r="D30" s="4">
        <f t="array" aca="1" ref="D30" ca="1">OFFSET(Data!$B$2,Data_Row_Bgn,Longi_Col-1,Num_Data_Row,1)</f>
        <v>-117.234416</v>
      </c>
      <c r="F30" s="4">
        <f ca="1">INDEX(Longi,1)</f>
        <v>-117.234416</v>
      </c>
      <c r="H30" s="4">
        <f ca="1">INDEX(Longi,Num_Data_Row)</f>
        <v>-117.00451200000001</v>
      </c>
    </row>
    <row r="31" spans="1:8" s="4" customFormat="1" x14ac:dyDescent="0.25">
      <c r="A31" s="8" t="s">
        <v>139</v>
      </c>
      <c r="B31" s="6">
        <f>MATCH(A31,Data!$2:$2,0)-1</f>
        <v>8</v>
      </c>
      <c r="C31" s="8" t="s">
        <v>140</v>
      </c>
      <c r="D31" s="4" t="str">
        <f t="array" aca="1" ref="D31" ca="1">OFFSET(Data!$B$2,Data_Row_Bgn,Map_Sym_Col-1,Num_Data_Row,1)</f>
        <v>Pkg_Garage</v>
      </c>
      <c r="F31" s="4" t="str">
        <f ca="1">INDEX(Map_Sym,1)</f>
        <v>Pkg_Garage</v>
      </c>
      <c r="H31" s="4" t="str">
        <f ca="1">INDEX(Map_Sym,Num_Data_Row)</f>
        <v>Roof_Flat</v>
      </c>
    </row>
    <row r="32" spans="1:8" s="4" customFormat="1" x14ac:dyDescent="0.25">
      <c r="A32" s="8" t="s">
        <v>147</v>
      </c>
      <c r="B32" s="6">
        <f>MATCH(A32,Data!$2:$2,0)-1</f>
        <v>9</v>
      </c>
      <c r="C32" s="8" t="s">
        <v>148</v>
      </c>
      <c r="D32" s="4">
        <f t="array" aca="1" ref="D32" ca="1">OFFSET(Data!$B$2,Data_Row_Bgn,Sym_Scl_Col-1,Num_Data_Row,1)</f>
        <v>1</v>
      </c>
      <c r="F32" s="4">
        <f ca="1">INDEX(Sym_Scl,1)</f>
        <v>1</v>
      </c>
      <c r="H32" s="4">
        <f ca="1">INDEX(Sym_Scl,Num_Data_Row)</f>
        <v>0.75</v>
      </c>
    </row>
    <row r="33" spans="1:8" s="4" customFormat="1" x14ac:dyDescent="0.25">
      <c r="A33" s="8" t="s">
        <v>151</v>
      </c>
      <c r="B33" s="6">
        <f>MATCH(A33,Data!$2:$2,0)-1</f>
        <v>10</v>
      </c>
      <c r="C33" s="8" t="s">
        <v>152</v>
      </c>
      <c r="D33" s="4">
        <f t="array" aca="1" ref="D33" ca="1">OFFSET(Data!$B$2,Data_Row_Bgn,Sym_Clr_Col-1,Num_Data_Row,1)</f>
        <v>0</v>
      </c>
      <c r="F33" s="4">
        <f ca="1">INDEX(Sym_Clr,1)</f>
        <v>0</v>
      </c>
      <c r="H33" s="4">
        <f ca="1">INDEX(Sym_Clr,Num_Data_Row)</f>
        <v>0</v>
      </c>
    </row>
    <row r="34" spans="1:8" x14ac:dyDescent="0.25">
      <c r="A34" t="s">
        <v>161</v>
      </c>
      <c r="B34" s="6">
        <f>MATCH(A34,Data!$2:$2,0)-1</f>
        <v>11</v>
      </c>
      <c r="C34" s="4" t="s">
        <v>162</v>
      </c>
      <c r="D34" s="4" t="str">
        <f t="array" aca="1" ref="D34" ca="1">OFFSET(Data!$B$2,Data_Row_Bgn,Label_Text_Col-1,Num_Data_Row,1)</f>
        <v/>
      </c>
      <c r="F34" s="4" t="str">
        <f ca="1">INDEX(Label_Text,1)</f>
        <v/>
      </c>
      <c r="G34" s="4"/>
      <c r="H34" s="4" t="str">
        <f ca="1">INDEX(Label_Text,Num_Data_Row)</f>
        <v/>
      </c>
    </row>
    <row r="35" spans="1:8" s="4" customFormat="1" x14ac:dyDescent="0.25">
      <c r="A35" s="8" t="s">
        <v>159</v>
      </c>
      <c r="B35" s="6">
        <f>MATCH(A35,Data!$2:$2,0)-1</f>
        <v>12</v>
      </c>
      <c r="C35" s="8" t="s">
        <v>163</v>
      </c>
      <c r="D35" s="4">
        <f t="array" aca="1" ref="D35" ca="1">OFFSET(Data!$B$2,Data_Row_Bgn,Label_Scl_Col-1,Num_Data_Row,1)</f>
        <v>1</v>
      </c>
      <c r="F35" s="4">
        <f ca="1">INDEX(Label_Scl,1)</f>
        <v>1</v>
      </c>
      <c r="H35" s="4">
        <f ca="1">INDEX(Label_Scl,Num_Data_Row)</f>
        <v>0.75</v>
      </c>
    </row>
    <row r="36" spans="1:8" s="4" customFormat="1" x14ac:dyDescent="0.25">
      <c r="A36" s="8" t="s">
        <v>160</v>
      </c>
      <c r="B36" s="6">
        <f>MATCH(A36,Data!$2:$2,0)-1</f>
        <v>13</v>
      </c>
      <c r="C36" s="8" t="s">
        <v>164</v>
      </c>
      <c r="D36" s="4">
        <f t="array" aca="1" ref="D36" ca="1">OFFSET(Data!$B$2,Data_Row_Bgn,Label_Clr_Col-1,Num_Data_Row,1)</f>
        <v>0</v>
      </c>
      <c r="F36" s="4">
        <f ca="1">INDEX(Label_Clr,1)</f>
        <v>0</v>
      </c>
      <c r="H36" s="4">
        <f ca="1">INDEX(Label_Clr,Num_Data_Row)</f>
        <v>0</v>
      </c>
    </row>
    <row r="37" spans="1:8" x14ac:dyDescent="0.25">
      <c r="A37" s="8" t="s">
        <v>10</v>
      </c>
      <c r="B37" s="6">
        <f>MATCH(A37,Data!$2:$2,0)-1</f>
        <v>14</v>
      </c>
      <c r="C37" s="4" t="s">
        <v>23</v>
      </c>
      <c r="D37" s="4">
        <f t="array" aca="1" ref="D37" ca="1">OFFSET(Data!$B$2,Data_Row_Bgn,Site_Seq_Col-1,Num_Data_Row,1)</f>
        <v>1</v>
      </c>
      <c r="F37" s="4">
        <f ca="1">INDEX(Site_Seq,1)</f>
        <v>1</v>
      </c>
      <c r="H37" s="4">
        <f ca="1">INDEX(Site_Seq,Num_Data_Row)</f>
        <v>0</v>
      </c>
    </row>
    <row r="38" spans="1:8" x14ac:dyDescent="0.25">
      <c r="A38" s="8" t="s">
        <v>11</v>
      </c>
      <c r="B38" s="6">
        <f>MATCH(A38,Data!$2:$2,0)-1</f>
        <v>15</v>
      </c>
      <c r="C38" s="4" t="s">
        <v>21</v>
      </c>
      <c r="D38" s="4">
        <f t="array" aca="1" ref="D38" ca="1">OFFSET(Data!$B$2,Data_Row_Bgn,Area_ft2_Col-1,Num_Data_Row,1)</f>
        <v>157000</v>
      </c>
      <c r="F38" s="4">
        <f ca="1">INDEX(Area_ft2,1)</f>
        <v>157000</v>
      </c>
      <c r="H38" s="4">
        <f ca="1">INDEX(Area_ft2,Num_Data_Row)</f>
        <v>126000</v>
      </c>
    </row>
    <row r="39" spans="1:8" s="4" customFormat="1" x14ac:dyDescent="0.25">
      <c r="A39" s="8" t="s">
        <v>35</v>
      </c>
      <c r="B39" s="6">
        <f>MATCH(A39,Data!$2:$2,0)-1</f>
        <v>16</v>
      </c>
      <c r="C39" s="8" t="s">
        <v>38</v>
      </c>
      <c r="D39" s="4" t="str">
        <f t="array" aca="1" ref="D39" ca="1">OFFSET(Data!$B$2,Data_Row_Bgn,PV_Type_Col-1,Num_Data_Row,1)</f>
        <v>Pkg_Garage</v>
      </c>
      <c r="F39" s="4" t="str">
        <f ca="1">INDEX(PV_Type,1)</f>
        <v>Pkg_Garage</v>
      </c>
      <c r="H39" s="4" t="str">
        <f ca="1">INDEX(PV_Type,Num_Data_Row)</f>
        <v>Roof_Flat</v>
      </c>
    </row>
    <row r="40" spans="1:8" x14ac:dyDescent="0.25">
      <c r="A40" s="8" t="s">
        <v>12</v>
      </c>
      <c r="B40" s="6">
        <f>MATCH(A40,Data!$2:$2,0)-1</f>
        <v>17</v>
      </c>
      <c r="C40" s="4" t="s">
        <v>22</v>
      </c>
      <c r="D40" s="4" t="str">
        <f t="array" aca="1" ref="D40" ca="1">OFFSET(Data!$B$2,Data_Row_Bgn,PV_Rating_Col-1,Num_Data_Row,1)</f>
        <v>High</v>
      </c>
      <c r="F40" s="4" t="str">
        <f ca="1">INDEX(PV_Rating,1)</f>
        <v>High</v>
      </c>
      <c r="H40" s="4" t="str">
        <f ca="1">INDEX(PV_Rating,Num_Data_Row)</f>
        <v>Medium</v>
      </c>
    </row>
    <row r="41" spans="1:8" x14ac:dyDescent="0.25">
      <c r="A41" s="8" t="s">
        <v>180</v>
      </c>
      <c r="B41" s="6">
        <f>MATCH(A41,Data!$2:$2,0)-1</f>
        <v>18</v>
      </c>
      <c r="C41" s="4" t="s">
        <v>204</v>
      </c>
      <c r="D41" s="4">
        <f ca="1">OFFSET(Data!$B$2,Data_Row_Bgn,Struc_W_Col-1,Num_Data_Row,1)</f>
        <v>534000</v>
      </c>
      <c r="F41" s="4">
        <f ca="1">INDEX(Struc_W,1)</f>
        <v>1099000</v>
      </c>
      <c r="H41" s="4">
        <f ca="1">INDEX(Struc_W,Num_Data_Row)</f>
        <v>756000</v>
      </c>
    </row>
    <row r="42" spans="1:8" x14ac:dyDescent="0.25">
      <c r="A42" s="8" t="s">
        <v>181</v>
      </c>
      <c r="B42" s="6">
        <f>MATCH(A42,Data!$2:$2,0)-1</f>
        <v>19</v>
      </c>
      <c r="C42" s="4" t="s">
        <v>205</v>
      </c>
      <c r="D42" s="4">
        <f ca="1">OFFSET(Data!$B$2,Data_Row_Bgn,Site_Sum_W_Col-1,Num_Data_Row,1)</f>
        <v>0</v>
      </c>
      <c r="F42" s="4">
        <f ca="1">INDEX(Site_Sum_W,1)</f>
        <v>1099000</v>
      </c>
      <c r="H42" s="4">
        <f ca="1">INDEX(Site_Sum_W,Num_Data_Row)</f>
        <v>0</v>
      </c>
    </row>
    <row r="43" spans="1:8" x14ac:dyDescent="0.25">
      <c r="A43" s="8" t="s">
        <v>2</v>
      </c>
      <c r="B43" s="6">
        <f>MATCH(A43,Data!$2:$2,0)-1</f>
        <v>20</v>
      </c>
      <c r="C43" s="4" t="s">
        <v>28</v>
      </c>
      <c r="D43" s="4">
        <f t="array" aca="1" ref="D43" ca="1">OFFSET(Data!$B$2,Data_Row_Bgn,Comments_Col-1,Num_Data_Row,1)</f>
        <v>0</v>
      </c>
      <c r="F43" s="4">
        <f ca="1">INDEX(Comments,1)</f>
        <v>0</v>
      </c>
      <c r="H43" s="4" t="str">
        <f ca="1">INDEX(Comments,Num_Data_Row)</f>
        <v>ICA N/A</v>
      </c>
    </row>
    <row r="44" spans="1:8" s="4" customFormat="1" x14ac:dyDescent="0.25">
      <c r="A44" s="8" t="s">
        <v>1392</v>
      </c>
      <c r="B44" s="6">
        <f>MATCH(A44,Data!$2:$2,0)-1</f>
        <v>21</v>
      </c>
      <c r="C44" s="4" t="s">
        <v>1394</v>
      </c>
      <c r="D44" s="4">
        <f t="array" aca="1" ref="D44" ca="1">OFFSET(Data!$B$2,Data_Row_Bgn,CES3Pct_Col-1,Num_Data_Row,1)</f>
        <v>0</v>
      </c>
      <c r="F44" s="4">
        <f ca="1">INDEX(CES3Pctl,1)</f>
        <v>0</v>
      </c>
      <c r="H44" s="4">
        <f ca="1">INDEX(CES3Pctl,Num_Data_Row)</f>
        <v>0</v>
      </c>
    </row>
    <row r="45" spans="1:8" x14ac:dyDescent="0.25">
      <c r="A45" s="8" t="s">
        <v>6</v>
      </c>
      <c r="B45" s="6">
        <f>MATCH(A45,Data!$2:$2,0)-1</f>
        <v>22</v>
      </c>
      <c r="C45" s="4" t="s">
        <v>24</v>
      </c>
      <c r="D45" s="4">
        <f t="array" aca="1" ref="D45" ca="1">OFFSET(Data!$B$2,Data_Row_Bgn,Ckt1_ID_Col-1,Num_Data_Row,1)</f>
        <v>831</v>
      </c>
      <c r="F45" s="4">
        <f ca="1">INDEX(Ckt1_ID,1)</f>
        <v>831</v>
      </c>
      <c r="H45" s="4" t="str">
        <f ca="1">INDEX(Ckt1_ID,Num_Data_Row)</f>
        <v>-</v>
      </c>
    </row>
    <row r="46" spans="1:8" x14ac:dyDescent="0.25">
      <c r="A46" s="8" t="s">
        <v>7</v>
      </c>
      <c r="B46" s="6">
        <f>MATCH(A46,Data!$2:$2,0)-1</f>
        <v>26</v>
      </c>
      <c r="C46" s="4" t="s">
        <v>25</v>
      </c>
      <c r="D46" s="4">
        <f t="array" aca="1" ref="D46" ca="1">OFFSET(Data!$B$2,Data_Row_Bgn,Ckt1_ft_Col-1,Num_Data_Row,1)</f>
        <v>0</v>
      </c>
      <c r="F46" s="4">
        <f ca="1">INDEX(Ckt1_ft,1)</f>
        <v>0</v>
      </c>
      <c r="H46" s="4">
        <f ca="1">INDEX(Ckt1_ft,Num_Data_Row)</f>
        <v>0</v>
      </c>
    </row>
    <row r="47" spans="1:8" s="4" customFormat="1" x14ac:dyDescent="0.25">
      <c r="A47" s="8" t="s">
        <v>108</v>
      </c>
      <c r="B47" s="6">
        <f>MATCH(A47,Data!$2:$2,0)-1</f>
        <v>23</v>
      </c>
      <c r="C47" s="8" t="s">
        <v>110</v>
      </c>
      <c r="D47" s="4">
        <f t="array" aca="1" ref="D47" ca="1">OFFSET(Data!$B$2,Data_Row_Bgn,Ckt1_Cap_Avail_Col-1,Num_Data_Row,1)</f>
        <v>1.33</v>
      </c>
      <c r="F47" s="4">
        <f ca="1">INDEX(Ckt1_Cap_Avail_Vec,1)</f>
        <v>1.33</v>
      </c>
      <c r="H47" s="4">
        <f ca="1">INDEX(Ckt1_Cap_Avail_Vec,Num_Data_Row)</f>
        <v>0</v>
      </c>
    </row>
    <row r="48" spans="1:8" x14ac:dyDescent="0.25">
      <c r="A48" s="8" t="s">
        <v>8</v>
      </c>
      <c r="B48" s="6" t="e">
        <f>MATCH(A48,Data!$2:$2,0)-1</f>
        <v>#N/A</v>
      </c>
      <c r="C48" s="4" t="s">
        <v>26</v>
      </c>
      <c r="D48" s="4" t="e">
        <f t="array" aca="1" ref="D48" ca="1">OFFSET(Data!$B$2,Data_Row_Bgn,Ckt2_ID_Col-1,Num_Data_Row,1)</f>
        <v>#N/A</v>
      </c>
      <c r="F48" s="4" t="e">
        <f ca="1">INDEX(Ckt2_ID,1)</f>
        <v>#N/A</v>
      </c>
      <c r="H48" s="4" t="e">
        <f ca="1">INDEX(Ckt2_ID,Num_Data_Row)</f>
        <v>#N/A</v>
      </c>
    </row>
    <row r="49" spans="1:8" x14ac:dyDescent="0.25">
      <c r="A49" s="8" t="s">
        <v>9</v>
      </c>
      <c r="B49" s="6" t="e">
        <f>MATCH(A49,Data!$2:$2,0)-1</f>
        <v>#N/A</v>
      </c>
      <c r="C49" s="4" t="s">
        <v>27</v>
      </c>
      <c r="D49" s="4" t="e">
        <f t="array" aca="1" ref="D49" ca="1">OFFSET(Data!$B$2,Data_Row_Bgn,Ckt2_ft_Col-1,Num_Data_Row,1)</f>
        <v>#N/A</v>
      </c>
      <c r="F49" s="4" t="e">
        <f ca="1">INDEX(Ckt2_ft,1)</f>
        <v>#N/A</v>
      </c>
      <c r="H49" s="4" t="e">
        <f ca="1">INDEX(Ckt2_ft,Num_Data_Row)</f>
        <v>#N/A</v>
      </c>
    </row>
    <row r="50" spans="1:8" s="4" customFormat="1" x14ac:dyDescent="0.25">
      <c r="A50" s="8" t="s">
        <v>109</v>
      </c>
      <c r="B50" s="6">
        <f>MATCH(A50,Data!$2:$2,0)-1</f>
        <v>24</v>
      </c>
      <c r="C50" s="8" t="s">
        <v>111</v>
      </c>
      <c r="D50" s="4">
        <f t="array" aca="1" ref="D50" ca="1">OFFSET(Data!$B$2,Data_Row_Bgn,Ckt2_Cap_Avail_Col-1,Num_Data_Row,1)</f>
        <v>8.8800000000000008</v>
      </c>
      <c r="F50" s="4">
        <f ca="1">INDEX(Ckt2_Cap_Avail_Vec,1)</f>
        <v>8.8800000000000008</v>
      </c>
      <c r="H50" s="4">
        <f ca="1">INDEX(Ckt2_Cap_Avail_Vec,Num_Data_Row)</f>
        <v>0</v>
      </c>
    </row>
    <row r="51" spans="1:8" x14ac:dyDescent="0.25">
      <c r="A51" t="s">
        <v>283</v>
      </c>
      <c r="B51" s="6">
        <f>MATCH(A51,Data!$2:$2,0)-1</f>
        <v>25</v>
      </c>
      <c r="C51" s="4" t="s">
        <v>879</v>
      </c>
      <c r="D51" t="str">
        <f t="array" aca="1" ref="D51" ca="1">OFFSET(Data!$B$2,Data_Row_Bgn,Zone_ID_Col-1,Num_Data_Row,1)</f>
        <v>North City West</v>
      </c>
      <c r="F51" t="str">
        <f ca="1">INDEX(Zone_ID_vec,1)</f>
        <v>North City West</v>
      </c>
      <c r="H51" s="4" t="str">
        <f ca="1">INDEX(Zone_ID_vec,Num_Data_Row)</f>
        <v>Missing ICA</v>
      </c>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BA54"/>
  <sheetViews>
    <sheetView topLeftCell="A7" workbookViewId="0">
      <selection activeCell="A15" sqref="A15"/>
    </sheetView>
  </sheetViews>
  <sheetFormatPr defaultColWidth="8.85546875" defaultRowHeight="15" x14ac:dyDescent="0.25"/>
  <cols>
    <col min="1" max="1" width="17.140625" customWidth="1"/>
    <col min="2" max="2" width="12.42578125" customWidth="1"/>
    <col min="3" max="3" width="10.42578125" customWidth="1"/>
    <col min="5" max="5" width="17.28515625" bestFit="1" customWidth="1"/>
    <col min="10" max="36" width="8.85546875" style="4"/>
  </cols>
  <sheetData>
    <row r="1" spans="1:39" x14ac:dyDescent="0.25">
      <c r="A1" s="1" t="s">
        <v>35</v>
      </c>
      <c r="B1" t="s">
        <v>131</v>
      </c>
      <c r="D1" t="s">
        <v>173</v>
      </c>
      <c r="F1" t="s">
        <v>130</v>
      </c>
      <c r="G1" s="4"/>
      <c r="H1" s="4"/>
      <c r="I1" s="4"/>
      <c r="AK1" s="4"/>
      <c r="AL1" s="4"/>
      <c r="AM1" s="4"/>
    </row>
    <row r="2" spans="1:39" x14ac:dyDescent="0.25">
      <c r="A2" s="7" t="s">
        <v>1</v>
      </c>
      <c r="B2" s="6" t="s">
        <v>55</v>
      </c>
      <c r="C2" s="6" t="s">
        <v>56</v>
      </c>
      <c r="D2" s="6" t="s">
        <v>57</v>
      </c>
      <c r="E2" s="6" t="s">
        <v>92</v>
      </c>
      <c r="F2" s="6" t="s">
        <v>132</v>
      </c>
      <c r="G2" s="6" t="s">
        <v>178</v>
      </c>
      <c r="H2" s="6" t="s">
        <v>179</v>
      </c>
      <c r="I2" s="4"/>
      <c r="AK2" s="4"/>
      <c r="AL2" s="4"/>
      <c r="AM2" s="4"/>
    </row>
    <row r="3" spans="1:39" x14ac:dyDescent="0.25">
      <c r="A3" s="51" t="s">
        <v>5</v>
      </c>
      <c r="B3" s="49">
        <v>7</v>
      </c>
      <c r="C3" s="49">
        <v>6</v>
      </c>
      <c r="D3" s="49">
        <v>5</v>
      </c>
      <c r="E3" s="50" t="s">
        <v>93</v>
      </c>
      <c r="F3" s="49">
        <v>8</v>
      </c>
      <c r="G3" s="49">
        <v>7</v>
      </c>
      <c r="H3" s="49">
        <v>6</v>
      </c>
      <c r="I3" s="4"/>
      <c r="AK3" s="4"/>
      <c r="AL3" s="4"/>
      <c r="AM3" s="4"/>
    </row>
    <row r="4" spans="1:39" x14ac:dyDescent="0.25">
      <c r="A4" s="51" t="s">
        <v>63</v>
      </c>
      <c r="B4" s="49">
        <v>0</v>
      </c>
      <c r="C4" s="49">
        <v>0</v>
      </c>
      <c r="D4" s="49">
        <v>0</v>
      </c>
      <c r="E4" s="50" t="s">
        <v>94</v>
      </c>
      <c r="F4" s="49">
        <v>0</v>
      </c>
      <c r="G4" s="49">
        <v>0</v>
      </c>
      <c r="H4" s="49">
        <v>0</v>
      </c>
      <c r="I4" s="4"/>
      <c r="AK4" s="4"/>
      <c r="AL4" s="4"/>
      <c r="AM4" s="4"/>
    </row>
    <row r="5" spans="1:39" x14ac:dyDescent="0.25">
      <c r="A5" s="51" t="s">
        <v>36</v>
      </c>
      <c r="B5" s="49">
        <v>7</v>
      </c>
      <c r="C5" s="49">
        <v>6</v>
      </c>
      <c r="D5" s="49">
        <v>5</v>
      </c>
      <c r="E5" s="50" t="s">
        <v>66</v>
      </c>
      <c r="F5" s="49">
        <v>8</v>
      </c>
      <c r="G5" s="49">
        <v>7</v>
      </c>
      <c r="H5" s="49">
        <v>6</v>
      </c>
      <c r="I5" s="4"/>
      <c r="AK5" s="4"/>
      <c r="AL5" s="4"/>
      <c r="AM5" s="4"/>
    </row>
    <row r="6" spans="1:39" x14ac:dyDescent="0.25">
      <c r="A6" s="51" t="s">
        <v>3</v>
      </c>
      <c r="B6" s="49">
        <v>7</v>
      </c>
      <c r="C6" s="49">
        <v>5</v>
      </c>
      <c r="D6" s="49">
        <v>5</v>
      </c>
      <c r="E6" s="50" t="s">
        <v>95</v>
      </c>
      <c r="F6" s="49">
        <v>8</v>
      </c>
      <c r="G6" s="49">
        <v>6</v>
      </c>
      <c r="H6" s="49">
        <v>6</v>
      </c>
      <c r="I6" s="4"/>
      <c r="AK6" s="4"/>
      <c r="AL6" s="4"/>
      <c r="AM6" s="4"/>
    </row>
    <row r="7" spans="1:39" x14ac:dyDescent="0.25">
      <c r="A7" s="51" t="s">
        <v>37</v>
      </c>
      <c r="B7" s="49">
        <v>7</v>
      </c>
      <c r="C7" s="49">
        <v>6</v>
      </c>
      <c r="D7" s="49">
        <v>5</v>
      </c>
      <c r="E7" s="50" t="s">
        <v>96</v>
      </c>
      <c r="F7" s="49">
        <v>8</v>
      </c>
      <c r="G7" s="49">
        <v>7</v>
      </c>
      <c r="H7" s="49">
        <v>6</v>
      </c>
      <c r="I7" s="4"/>
      <c r="AK7" s="4"/>
      <c r="AL7" s="4"/>
      <c r="AM7" s="4"/>
    </row>
    <row r="8" spans="1:39" s="4" customFormat="1" x14ac:dyDescent="0.25">
      <c r="A8" s="52" t="s">
        <v>134</v>
      </c>
      <c r="B8" s="49">
        <v>7</v>
      </c>
      <c r="C8" s="49">
        <v>6</v>
      </c>
      <c r="D8" s="49">
        <v>5</v>
      </c>
      <c r="E8" s="50" t="s">
        <v>144</v>
      </c>
      <c r="F8" s="49">
        <v>8</v>
      </c>
      <c r="G8" s="49">
        <v>7</v>
      </c>
      <c r="H8" s="49">
        <v>6</v>
      </c>
    </row>
    <row r="9" spans="1:39" x14ac:dyDescent="0.25">
      <c r="A9" s="51" t="s">
        <v>51</v>
      </c>
      <c r="B9" s="49">
        <v>0</v>
      </c>
      <c r="C9" s="49">
        <v>0</v>
      </c>
      <c r="D9" s="49">
        <v>0</v>
      </c>
      <c r="E9" s="50" t="s">
        <v>51</v>
      </c>
      <c r="F9" s="49">
        <v>0</v>
      </c>
      <c r="G9" s="49">
        <v>0</v>
      </c>
      <c r="H9" s="49">
        <v>0</v>
      </c>
      <c r="I9" s="4"/>
      <c r="AK9" s="4"/>
      <c r="AL9" s="4"/>
      <c r="AM9" s="4"/>
    </row>
    <row r="10" spans="1:39" x14ac:dyDescent="0.25">
      <c r="A10" s="51" t="s">
        <v>52</v>
      </c>
      <c r="B10" s="49">
        <v>0</v>
      </c>
      <c r="C10" s="49">
        <v>0</v>
      </c>
      <c r="D10" s="49">
        <v>0</v>
      </c>
      <c r="E10" s="50" t="s">
        <v>52</v>
      </c>
      <c r="F10" s="49">
        <v>0</v>
      </c>
      <c r="G10" s="49">
        <v>0</v>
      </c>
      <c r="H10" s="49">
        <v>0</v>
      </c>
      <c r="I10" s="4"/>
      <c r="AK10" s="4"/>
      <c r="AL10" s="4"/>
      <c r="AM10" s="4"/>
    </row>
    <row r="11" spans="1:39" x14ac:dyDescent="0.25">
      <c r="A11" s="51" t="s">
        <v>62</v>
      </c>
      <c r="B11" s="49">
        <v>0</v>
      </c>
      <c r="C11" s="49">
        <v>0</v>
      </c>
      <c r="D11" s="49">
        <v>0</v>
      </c>
      <c r="E11" s="50" t="s">
        <v>97</v>
      </c>
      <c r="F11" s="49">
        <v>0</v>
      </c>
      <c r="G11" s="49">
        <v>0</v>
      </c>
      <c r="H11" s="49">
        <v>0</v>
      </c>
      <c r="I11" s="4"/>
      <c r="AK11" s="4"/>
      <c r="AL11" s="4"/>
      <c r="AM11" s="4"/>
    </row>
    <row r="12" spans="1:39" x14ac:dyDescent="0.25">
      <c r="A12" s="51" t="s">
        <v>60</v>
      </c>
      <c r="B12" s="49">
        <v>0</v>
      </c>
      <c r="C12" s="49">
        <v>0</v>
      </c>
      <c r="D12" s="49">
        <v>0</v>
      </c>
      <c r="E12" s="50" t="s">
        <v>98</v>
      </c>
      <c r="F12" s="49">
        <v>0</v>
      </c>
      <c r="G12" s="49">
        <v>0</v>
      </c>
      <c r="H12" s="49">
        <v>0</v>
      </c>
      <c r="I12" s="4"/>
      <c r="AK12" s="4"/>
      <c r="AL12" s="4"/>
      <c r="AM12" s="4"/>
    </row>
    <row r="13" spans="1:39" s="4" customFormat="1" x14ac:dyDescent="0.25">
      <c r="A13" s="51" t="s">
        <v>304</v>
      </c>
      <c r="B13" s="49">
        <v>7</v>
      </c>
      <c r="C13" s="49">
        <v>6</v>
      </c>
      <c r="D13" s="49">
        <v>5</v>
      </c>
      <c r="E13" s="50" t="s">
        <v>304</v>
      </c>
      <c r="F13" s="49">
        <v>8</v>
      </c>
      <c r="G13" s="49">
        <v>7</v>
      </c>
      <c r="H13" s="49">
        <v>6</v>
      </c>
    </row>
    <row r="14" spans="1:39" x14ac:dyDescent="0.25">
      <c r="A14" s="5" t="s">
        <v>61</v>
      </c>
      <c r="B14" s="49">
        <v>0</v>
      </c>
      <c r="C14" s="49">
        <v>0</v>
      </c>
      <c r="D14" s="49">
        <v>0</v>
      </c>
      <c r="E14" s="50" t="s">
        <v>99</v>
      </c>
      <c r="F14" s="49">
        <v>0</v>
      </c>
      <c r="G14" s="49">
        <v>0</v>
      </c>
      <c r="H14" s="49">
        <v>0</v>
      </c>
      <c r="I14" s="4"/>
      <c r="AK14" s="4"/>
      <c r="AL14" s="4"/>
      <c r="AM14" s="4"/>
    </row>
    <row r="16" spans="1:39" x14ac:dyDescent="0.25">
      <c r="A16" s="5" t="s">
        <v>73</v>
      </c>
    </row>
    <row r="17" spans="1:53" x14ac:dyDescent="0.25">
      <c r="A17" s="5" t="s">
        <v>74</v>
      </c>
    </row>
    <row r="18" spans="1:53" x14ac:dyDescent="0.25">
      <c r="A18" s="5" t="s">
        <v>100</v>
      </c>
    </row>
    <row r="19" spans="1:53" s="4" customFormat="1" x14ac:dyDescent="0.25">
      <c r="A19" s="5"/>
    </row>
    <row r="21" spans="1:53" x14ac:dyDescent="0.25">
      <c r="A21" s="8" t="s">
        <v>171</v>
      </c>
    </row>
    <row r="22" spans="1:53" x14ac:dyDescent="0.25">
      <c r="A22" s="64" t="s">
        <v>40</v>
      </c>
      <c r="B22" t="s">
        <v>203</v>
      </c>
      <c r="C22" t="s">
        <v>142</v>
      </c>
      <c r="D22" t="s">
        <v>143</v>
      </c>
      <c r="AD22" s="4" t="s">
        <v>273</v>
      </c>
      <c r="AK22" t="s">
        <v>270</v>
      </c>
      <c r="AR22" t="s">
        <v>271</v>
      </c>
      <c r="AT22" s="4"/>
      <c r="AU22" s="4"/>
      <c r="AV22" s="4"/>
      <c r="AW22" s="4"/>
      <c r="AX22" s="4"/>
      <c r="AY22" s="4"/>
      <c r="AZ22" s="4"/>
      <c r="BA22" t="s">
        <v>245</v>
      </c>
    </row>
    <row r="23" spans="1:53" x14ac:dyDescent="0.25">
      <c r="A23" s="10" t="s">
        <v>46</v>
      </c>
      <c r="B23" s="10" t="s">
        <v>107</v>
      </c>
      <c r="C23" s="10" t="s">
        <v>47</v>
      </c>
      <c r="D23" s="10" t="s">
        <v>48</v>
      </c>
      <c r="E23" s="10"/>
      <c r="F23" s="10"/>
      <c r="G23" s="10"/>
      <c r="AT23" s="4"/>
      <c r="AU23" s="4"/>
      <c r="AV23" s="4"/>
      <c r="AW23" s="4"/>
      <c r="AX23" s="4"/>
      <c r="AY23" s="4"/>
      <c r="AZ23" s="4"/>
      <c r="BA23" t="s">
        <v>48</v>
      </c>
    </row>
    <row r="24" spans="1:53" s="4" customFormat="1" x14ac:dyDescent="0.25">
      <c r="A24" s="53" t="s">
        <v>76</v>
      </c>
      <c r="B24" s="10" t="s">
        <v>76</v>
      </c>
      <c r="C24" s="10" t="s">
        <v>77</v>
      </c>
      <c r="D24" s="10" t="s">
        <v>78</v>
      </c>
      <c r="E24" s="10"/>
      <c r="F24" s="10"/>
      <c r="G24" s="10"/>
      <c r="BA24" s="4" t="s">
        <v>78</v>
      </c>
    </row>
    <row r="25" spans="1:53" s="4" customFormat="1" x14ac:dyDescent="0.25">
      <c r="A25" s="53" t="s">
        <v>225</v>
      </c>
      <c r="B25" s="10" t="s">
        <v>225</v>
      </c>
      <c r="C25" s="10" t="s">
        <v>223</v>
      </c>
      <c r="D25" s="10" t="s">
        <v>224</v>
      </c>
      <c r="E25" s="10"/>
      <c r="F25" s="10"/>
      <c r="G25" s="10"/>
      <c r="AD25" s="4" t="s">
        <v>272</v>
      </c>
      <c r="AK25" s="4" t="s">
        <v>246</v>
      </c>
      <c r="AR25" s="4" t="s">
        <v>247</v>
      </c>
      <c r="BA25" s="4" t="s">
        <v>224</v>
      </c>
    </row>
    <row r="26" spans="1:53" s="4" customFormat="1" x14ac:dyDescent="0.25">
      <c r="A26" s="53" t="s">
        <v>69</v>
      </c>
      <c r="B26" s="10" t="s">
        <v>106</v>
      </c>
      <c r="C26" s="10" t="s">
        <v>70</v>
      </c>
      <c r="D26" s="10" t="s">
        <v>71</v>
      </c>
      <c r="E26" s="10"/>
      <c r="F26" s="10"/>
      <c r="G26" s="10"/>
      <c r="AK26" s="4" t="s">
        <v>250</v>
      </c>
      <c r="AR26" s="4" t="s">
        <v>251</v>
      </c>
      <c r="BA26" s="4" t="s">
        <v>71</v>
      </c>
    </row>
    <row r="27" spans="1:53" s="4" customFormat="1" x14ac:dyDescent="0.25">
      <c r="A27" s="53" t="s">
        <v>5</v>
      </c>
      <c r="B27" s="10" t="s">
        <v>93</v>
      </c>
      <c r="C27" s="10" t="s">
        <v>217</v>
      </c>
      <c r="D27" s="10" t="s">
        <v>336</v>
      </c>
      <c r="E27" s="10"/>
      <c r="F27" s="10"/>
      <c r="G27" s="10"/>
      <c r="BA27" s="4" t="s">
        <v>45</v>
      </c>
    </row>
    <row r="28" spans="1:53" s="4" customFormat="1" x14ac:dyDescent="0.25">
      <c r="A28" s="53" t="s">
        <v>232</v>
      </c>
      <c r="B28" s="10" t="s">
        <v>233</v>
      </c>
      <c r="C28" s="10" t="s">
        <v>190</v>
      </c>
      <c r="D28" s="10" t="s">
        <v>191</v>
      </c>
      <c r="E28" s="10"/>
      <c r="F28" s="10"/>
      <c r="G28" s="10"/>
      <c r="AK28" s="4" t="s">
        <v>248</v>
      </c>
      <c r="AR28" s="4" t="s">
        <v>249</v>
      </c>
      <c r="BA28" s="4" t="s">
        <v>191</v>
      </c>
    </row>
    <row r="29" spans="1:53" s="4" customFormat="1" x14ac:dyDescent="0.25">
      <c r="A29" s="53" t="s">
        <v>63</v>
      </c>
      <c r="B29" s="10" t="s">
        <v>94</v>
      </c>
      <c r="C29" s="10" t="s">
        <v>64</v>
      </c>
      <c r="D29" s="10" t="s">
        <v>65</v>
      </c>
      <c r="E29" s="10"/>
      <c r="F29" s="10"/>
      <c r="G29" s="10"/>
      <c r="AK29" s="4" t="s">
        <v>262</v>
      </c>
      <c r="AR29" s="4" t="s">
        <v>263</v>
      </c>
      <c r="BA29" s="4" t="s">
        <v>65</v>
      </c>
    </row>
    <row r="30" spans="1:53" s="4" customFormat="1" x14ac:dyDescent="0.25">
      <c r="A30" s="53" t="s">
        <v>172</v>
      </c>
      <c r="B30" s="10" t="s">
        <v>172</v>
      </c>
      <c r="C30" s="10" t="s">
        <v>41</v>
      </c>
      <c r="D30" s="10" t="s">
        <v>42</v>
      </c>
      <c r="E30" s="10"/>
      <c r="F30" s="10"/>
      <c r="G30" s="10"/>
      <c r="AK30" s="4" t="s">
        <v>266</v>
      </c>
      <c r="AR30" s="4" t="s">
        <v>267</v>
      </c>
      <c r="BA30" s="4" t="s">
        <v>42</v>
      </c>
    </row>
    <row r="31" spans="1:53" s="4" customFormat="1" x14ac:dyDescent="0.25">
      <c r="A31" s="53" t="s">
        <v>127</v>
      </c>
      <c r="B31" s="10" t="s">
        <v>128</v>
      </c>
      <c r="C31" s="10" t="s">
        <v>129</v>
      </c>
      <c r="D31" s="10" t="s">
        <v>126</v>
      </c>
      <c r="E31" s="10"/>
      <c r="F31" s="10"/>
      <c r="G31" s="10"/>
      <c r="BA31" s="4" t="s">
        <v>126</v>
      </c>
    </row>
    <row r="32" spans="1:53" s="4" customFormat="1" x14ac:dyDescent="0.25">
      <c r="A32" s="53" t="s">
        <v>135</v>
      </c>
      <c r="B32" s="10" t="s">
        <v>135</v>
      </c>
      <c r="C32" s="10" t="s">
        <v>136</v>
      </c>
      <c r="D32" s="10" t="s">
        <v>137</v>
      </c>
      <c r="E32" s="10"/>
      <c r="F32" s="10"/>
      <c r="G32" s="10"/>
      <c r="BA32" s="4" t="s">
        <v>137</v>
      </c>
    </row>
    <row r="33" spans="1:53" s="4" customFormat="1" x14ac:dyDescent="0.25">
      <c r="A33" s="53" t="s">
        <v>237</v>
      </c>
      <c r="B33" s="10" t="s">
        <v>238</v>
      </c>
      <c r="C33" s="10" t="s">
        <v>196</v>
      </c>
      <c r="D33" s="10" t="s">
        <v>197</v>
      </c>
      <c r="E33" s="10"/>
      <c r="F33" s="10"/>
      <c r="G33" s="10"/>
      <c r="BA33" s="4" t="s">
        <v>197</v>
      </c>
    </row>
    <row r="34" spans="1:53" s="4" customFormat="1" x14ac:dyDescent="0.25">
      <c r="A34" s="53" t="s">
        <v>242</v>
      </c>
      <c r="B34" s="10" t="s">
        <v>242</v>
      </c>
      <c r="C34" s="10" t="s">
        <v>198</v>
      </c>
      <c r="D34" s="10" t="s">
        <v>199</v>
      </c>
      <c r="E34" s="10"/>
      <c r="F34" s="10"/>
      <c r="G34" s="10"/>
      <c r="AK34" s="4" t="s">
        <v>252</v>
      </c>
      <c r="AR34" s="4" t="s">
        <v>253</v>
      </c>
      <c r="BA34" s="4" t="s">
        <v>199</v>
      </c>
    </row>
    <row r="35" spans="1:53" s="4" customFormat="1" x14ac:dyDescent="0.25">
      <c r="A35" s="53" t="s">
        <v>51</v>
      </c>
      <c r="B35" s="10" t="s">
        <v>51</v>
      </c>
      <c r="C35" s="10" t="s">
        <v>41</v>
      </c>
      <c r="D35" s="10" t="s">
        <v>42</v>
      </c>
      <c r="E35" s="10"/>
      <c r="F35" s="10"/>
      <c r="G35" s="10"/>
      <c r="BA35" s="4" t="s">
        <v>42</v>
      </c>
    </row>
    <row r="36" spans="1:53" x14ac:dyDescent="0.25">
      <c r="A36" s="53" t="s">
        <v>36</v>
      </c>
      <c r="B36" s="10" t="s">
        <v>66</v>
      </c>
      <c r="C36" s="10" t="s">
        <v>44</v>
      </c>
      <c r="D36" s="10" t="s">
        <v>280</v>
      </c>
      <c r="E36" s="10"/>
      <c r="F36" s="10"/>
      <c r="G36" s="10"/>
      <c r="AK36" t="s">
        <v>260</v>
      </c>
      <c r="AR36" t="s">
        <v>261</v>
      </c>
      <c r="AT36" s="4"/>
      <c r="AU36" s="4"/>
      <c r="AV36" s="4"/>
      <c r="AW36" s="4"/>
      <c r="AX36" s="4"/>
      <c r="AY36" s="4"/>
      <c r="AZ36" s="4"/>
      <c r="BA36" t="s">
        <v>43</v>
      </c>
    </row>
    <row r="37" spans="1:53" s="4" customFormat="1" x14ac:dyDescent="0.25">
      <c r="A37" s="53" t="s">
        <v>3</v>
      </c>
      <c r="B37" s="10" t="s">
        <v>95</v>
      </c>
      <c r="C37" s="10" t="s">
        <v>44</v>
      </c>
      <c r="D37" s="10" t="s">
        <v>280</v>
      </c>
      <c r="E37" s="10"/>
      <c r="F37" s="10"/>
      <c r="G37" s="10"/>
      <c r="AK37" s="4" t="s">
        <v>258</v>
      </c>
      <c r="AR37" s="4" t="s">
        <v>259</v>
      </c>
      <c r="BA37" s="4" t="s">
        <v>43</v>
      </c>
    </row>
    <row r="38" spans="1:53" s="4" customFormat="1" x14ac:dyDescent="0.25">
      <c r="A38" s="53" t="s">
        <v>222</v>
      </c>
      <c r="B38" s="10" t="s">
        <v>105</v>
      </c>
      <c r="C38" s="10" t="s">
        <v>41</v>
      </c>
      <c r="D38" s="10" t="s">
        <v>42</v>
      </c>
      <c r="E38" s="10"/>
      <c r="F38" s="10"/>
      <c r="G38" s="10"/>
      <c r="BA38" s="4" t="s">
        <v>42</v>
      </c>
    </row>
    <row r="39" spans="1:53" s="4" customFormat="1" x14ac:dyDescent="0.25">
      <c r="A39" s="53" t="s">
        <v>122</v>
      </c>
      <c r="B39" s="10" t="s">
        <v>123</v>
      </c>
      <c r="C39" s="10" t="s">
        <v>124</v>
      </c>
      <c r="D39" s="10" t="s">
        <v>125</v>
      </c>
      <c r="E39" s="10"/>
      <c r="F39" s="10"/>
      <c r="G39" s="10"/>
      <c r="BA39" s="4" t="s">
        <v>125</v>
      </c>
    </row>
    <row r="40" spans="1:53" s="4" customFormat="1" x14ac:dyDescent="0.25">
      <c r="A40" s="53" t="s">
        <v>118</v>
      </c>
      <c r="B40" s="10" t="s">
        <v>119</v>
      </c>
      <c r="C40" s="10" t="s">
        <v>120</v>
      </c>
      <c r="D40" s="10" t="s">
        <v>121</v>
      </c>
      <c r="E40" s="10"/>
      <c r="F40" s="10"/>
      <c r="G40" s="10"/>
      <c r="BA40" s="4" t="s">
        <v>121</v>
      </c>
    </row>
    <row r="41" spans="1:53" s="4" customFormat="1" x14ac:dyDescent="0.25">
      <c r="A41" s="53" t="s">
        <v>52</v>
      </c>
      <c r="B41" s="10" t="s">
        <v>52</v>
      </c>
      <c r="C41" s="10" t="s">
        <v>49</v>
      </c>
      <c r="D41" s="10" t="s">
        <v>50</v>
      </c>
      <c r="E41" s="10"/>
      <c r="F41" s="10"/>
      <c r="G41" s="10"/>
      <c r="BA41" s="4" t="s">
        <v>50</v>
      </c>
    </row>
    <row r="42" spans="1:53" s="4" customFormat="1" x14ac:dyDescent="0.25">
      <c r="A42" s="53" t="s">
        <v>134</v>
      </c>
      <c r="B42" s="10" t="s">
        <v>144</v>
      </c>
      <c r="C42" s="10" t="s">
        <v>175</v>
      </c>
      <c r="D42" s="10" t="s">
        <v>174</v>
      </c>
      <c r="E42" s="10"/>
      <c r="F42" s="10"/>
      <c r="G42" s="10"/>
      <c r="T42" s="71"/>
      <c r="AK42" s="4" t="s">
        <v>256</v>
      </c>
      <c r="AR42" s="4" t="s">
        <v>257</v>
      </c>
      <c r="BA42" s="4" t="s">
        <v>174</v>
      </c>
    </row>
    <row r="43" spans="1:53" s="4" customFormat="1" x14ac:dyDescent="0.25">
      <c r="A43" s="53" t="s">
        <v>37</v>
      </c>
      <c r="B43" s="10" t="s">
        <v>96</v>
      </c>
      <c r="C43" s="10" t="s">
        <v>44</v>
      </c>
      <c r="D43" s="10" t="s">
        <v>45</v>
      </c>
      <c r="E43" s="10"/>
      <c r="F43" s="10"/>
      <c r="G43" s="10"/>
      <c r="AK43" s="4" t="s">
        <v>254</v>
      </c>
      <c r="AR43" s="4" t="s">
        <v>255</v>
      </c>
      <c r="BA43" s="4" t="s">
        <v>45</v>
      </c>
    </row>
    <row r="44" spans="1:53" s="4" customFormat="1" x14ac:dyDescent="0.25">
      <c r="A44" s="53" t="s">
        <v>54</v>
      </c>
      <c r="B44" s="10" t="s">
        <v>105</v>
      </c>
      <c r="C44" s="10" t="s">
        <v>41</v>
      </c>
      <c r="D44" s="10" t="s">
        <v>42</v>
      </c>
      <c r="E44" s="10"/>
      <c r="F44" s="10"/>
      <c r="G44" s="10"/>
      <c r="BA44" s="4" t="s">
        <v>42</v>
      </c>
    </row>
    <row r="45" spans="1:53" x14ac:dyDescent="0.25">
      <c r="A45" s="53" t="s">
        <v>62</v>
      </c>
      <c r="B45" s="10" t="s">
        <v>97</v>
      </c>
      <c r="C45" s="10" t="s">
        <v>58</v>
      </c>
      <c r="D45" s="10" t="s">
        <v>59</v>
      </c>
      <c r="E45" s="10"/>
      <c r="F45" s="10"/>
      <c r="G45" s="10"/>
      <c r="AK45" t="s">
        <v>264</v>
      </c>
      <c r="AR45" t="s">
        <v>265</v>
      </c>
      <c r="AT45" s="4"/>
      <c r="AU45" s="4"/>
      <c r="AV45" s="4"/>
      <c r="AW45" s="4"/>
      <c r="AX45" s="4"/>
      <c r="AY45" s="4"/>
      <c r="AZ45" s="4"/>
      <c r="BA45" t="s">
        <v>59</v>
      </c>
    </row>
    <row r="46" spans="1:53" s="4" customFormat="1" x14ac:dyDescent="0.25">
      <c r="A46" s="53" t="s">
        <v>218</v>
      </c>
      <c r="B46" s="10" t="s">
        <v>219</v>
      </c>
      <c r="C46" s="10" t="s">
        <v>184</v>
      </c>
      <c r="D46" s="10" t="s">
        <v>185</v>
      </c>
      <c r="E46" s="10"/>
      <c r="F46" s="10"/>
      <c r="G46" s="10"/>
      <c r="AK46" s="4" t="s">
        <v>268</v>
      </c>
      <c r="AR46" s="4" t="s">
        <v>269</v>
      </c>
      <c r="BA46" s="4" t="s">
        <v>185</v>
      </c>
    </row>
    <row r="47" spans="1:53" x14ac:dyDescent="0.25">
      <c r="A47" s="53" t="s">
        <v>141</v>
      </c>
      <c r="B47" s="10" t="s">
        <v>141</v>
      </c>
      <c r="C47" s="10" t="s">
        <v>44</v>
      </c>
      <c r="D47" s="10" t="s">
        <v>45</v>
      </c>
      <c r="E47" s="10"/>
      <c r="F47" s="10"/>
      <c r="G47" s="10"/>
      <c r="AT47" s="4"/>
      <c r="AU47" s="4"/>
      <c r="AV47" s="4"/>
      <c r="AW47" s="4"/>
      <c r="AX47" s="4"/>
      <c r="AY47" s="4"/>
      <c r="AZ47" s="4"/>
      <c r="BA47" t="s">
        <v>45</v>
      </c>
    </row>
    <row r="48" spans="1:53" s="4" customFormat="1" x14ac:dyDescent="0.25">
      <c r="A48" s="53" t="s">
        <v>210</v>
      </c>
      <c r="B48" s="10" t="s">
        <v>210</v>
      </c>
      <c r="C48" s="10" t="s">
        <v>188</v>
      </c>
      <c r="D48" s="10" t="s">
        <v>189</v>
      </c>
      <c r="E48" s="10"/>
      <c r="F48" s="10"/>
      <c r="G48" s="10"/>
      <c r="BA48" s="4" t="s">
        <v>189</v>
      </c>
    </row>
    <row r="49" spans="1:53" s="4" customFormat="1" x14ac:dyDescent="0.25">
      <c r="A49" s="53" t="s">
        <v>60</v>
      </c>
      <c r="B49" s="10" t="s">
        <v>98</v>
      </c>
      <c r="C49" s="10" t="s">
        <v>49</v>
      </c>
      <c r="D49" s="10" t="s">
        <v>50</v>
      </c>
      <c r="E49" s="10"/>
      <c r="F49" s="10"/>
      <c r="G49" s="10"/>
      <c r="BA49" s="4" t="s">
        <v>50</v>
      </c>
    </row>
    <row r="50" spans="1:53" s="4" customFormat="1" x14ac:dyDescent="0.25">
      <c r="A50" s="53" t="s">
        <v>206</v>
      </c>
      <c r="B50" s="10" t="s">
        <v>207</v>
      </c>
      <c r="C50" s="10" t="s">
        <v>194</v>
      </c>
      <c r="D50" s="10" t="s">
        <v>195</v>
      </c>
      <c r="E50" s="10"/>
      <c r="F50" s="10"/>
      <c r="G50" s="10"/>
      <c r="BA50" s="4" t="s">
        <v>195</v>
      </c>
    </row>
    <row r="51" spans="1:53" x14ac:dyDescent="0.25">
      <c r="A51" s="53" t="s">
        <v>200</v>
      </c>
      <c r="B51" s="10" t="s">
        <v>200</v>
      </c>
      <c r="C51" s="10" t="s">
        <v>192</v>
      </c>
      <c r="D51" s="10" t="s">
        <v>193</v>
      </c>
      <c r="E51" s="10"/>
      <c r="F51" s="10"/>
      <c r="G51" s="10"/>
      <c r="AT51" s="4"/>
      <c r="AU51" s="4"/>
      <c r="AV51" s="4"/>
      <c r="AW51" s="4"/>
      <c r="AX51" s="4"/>
      <c r="AY51" s="4"/>
      <c r="AZ51" s="4"/>
      <c r="BA51" t="s">
        <v>193</v>
      </c>
    </row>
    <row r="52" spans="1:53" s="4" customFormat="1" x14ac:dyDescent="0.25">
      <c r="A52" s="53" t="s">
        <v>302</v>
      </c>
      <c r="B52" s="10" t="s">
        <v>305</v>
      </c>
      <c r="C52" s="10" t="s">
        <v>186</v>
      </c>
      <c r="D52" s="10" t="s">
        <v>187</v>
      </c>
      <c r="E52" s="10"/>
      <c r="F52" s="10"/>
      <c r="G52" s="10"/>
    </row>
    <row r="53" spans="1:53" s="4" customFormat="1" x14ac:dyDescent="0.25">
      <c r="A53" s="53" t="s">
        <v>304</v>
      </c>
      <c r="B53" s="10" t="s">
        <v>304</v>
      </c>
      <c r="C53" s="10" t="s">
        <v>124</v>
      </c>
      <c r="D53" s="10" t="s">
        <v>125</v>
      </c>
      <c r="E53" s="10"/>
      <c r="F53" s="10"/>
      <c r="G53" s="10"/>
    </row>
    <row r="54" spans="1:53" x14ac:dyDescent="0.25">
      <c r="A54" s="53" t="s">
        <v>201</v>
      </c>
      <c r="B54" s="10"/>
      <c r="C54" s="10"/>
      <c r="D54" s="10"/>
      <c r="E54" s="10"/>
      <c r="F54" s="10"/>
      <c r="G54" s="10"/>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2:H40"/>
  <sheetViews>
    <sheetView workbookViewId="0">
      <selection activeCell="B16" sqref="B16"/>
    </sheetView>
  </sheetViews>
  <sheetFormatPr defaultColWidth="8.85546875" defaultRowHeight="15" x14ac:dyDescent="0.25"/>
  <cols>
    <col min="2" max="2" width="15.42578125" bestFit="1" customWidth="1"/>
  </cols>
  <sheetData>
    <row r="2" spans="1:8" x14ac:dyDescent="0.25">
      <c r="A2" t="s">
        <v>277</v>
      </c>
    </row>
    <row r="3" spans="1:8" x14ac:dyDescent="0.25">
      <c r="B3" t="s">
        <v>82</v>
      </c>
      <c r="C3" t="s">
        <v>278</v>
      </c>
      <c r="D3" t="s">
        <v>285</v>
      </c>
    </row>
    <row r="4" spans="1:8" s="4" customFormat="1" x14ac:dyDescent="0.25">
      <c r="D4" s="4" t="s">
        <v>327</v>
      </c>
    </row>
    <row r="5" spans="1:8" s="4" customFormat="1" x14ac:dyDescent="0.25">
      <c r="B5" s="58" t="s">
        <v>279</v>
      </c>
      <c r="C5" s="4" t="s">
        <v>278</v>
      </c>
      <c r="D5" s="4" t="s">
        <v>286</v>
      </c>
    </row>
    <row r="6" spans="1:8" s="4" customFormat="1" x14ac:dyDescent="0.25">
      <c r="B6" s="59" t="s">
        <v>294</v>
      </c>
    </row>
    <row r="7" spans="1:8" x14ac:dyDescent="0.25">
      <c r="B7" t="s">
        <v>295</v>
      </c>
    </row>
    <row r="8" spans="1:8" x14ac:dyDescent="0.25">
      <c r="B8" t="s">
        <v>84</v>
      </c>
      <c r="C8" t="s">
        <v>313</v>
      </c>
    </row>
    <row r="9" spans="1:8" s="4" customFormat="1" x14ac:dyDescent="0.25">
      <c r="C9" s="4" t="s">
        <v>326</v>
      </c>
    </row>
    <row r="10" spans="1:8" s="4" customFormat="1" x14ac:dyDescent="0.25">
      <c r="C10" t="s">
        <v>211</v>
      </c>
    </row>
    <row r="11" spans="1:8" x14ac:dyDescent="0.25">
      <c r="C11" t="s">
        <v>215</v>
      </c>
      <c r="H11" s="58"/>
    </row>
    <row r="12" spans="1:8" x14ac:dyDescent="0.25">
      <c r="A12" s="4"/>
      <c r="C12" s="4" t="s">
        <v>284</v>
      </c>
      <c r="D12" s="4"/>
      <c r="E12" s="4"/>
      <c r="F12" s="4"/>
      <c r="H12" s="58"/>
    </row>
    <row r="13" spans="1:8" x14ac:dyDescent="0.25">
      <c r="B13" s="58"/>
      <c r="C13" t="s">
        <v>288</v>
      </c>
      <c r="H13" s="58"/>
    </row>
    <row r="14" spans="1:8" s="4" customFormat="1" x14ac:dyDescent="0.25">
      <c r="B14" s="58"/>
      <c r="C14" s="4" t="s">
        <v>334</v>
      </c>
      <c r="H14" s="58"/>
    </row>
    <row r="15" spans="1:8" s="4" customFormat="1" x14ac:dyDescent="0.25">
      <c r="B15" s="58" t="s">
        <v>322</v>
      </c>
      <c r="H15" s="58"/>
    </row>
    <row r="16" spans="1:8" s="4" customFormat="1" x14ac:dyDescent="0.25">
      <c r="B16" s="58" t="s">
        <v>323</v>
      </c>
      <c r="C16" s="4" t="s">
        <v>335</v>
      </c>
      <c r="H16" s="58"/>
    </row>
    <row r="17" spans="1:8" s="4" customFormat="1" x14ac:dyDescent="0.25">
      <c r="B17" s="58" t="s">
        <v>324</v>
      </c>
      <c r="H17" s="58"/>
    </row>
    <row r="18" spans="1:8" x14ac:dyDescent="0.25">
      <c r="B18" s="58" t="s">
        <v>182</v>
      </c>
    </row>
    <row r="19" spans="1:8" x14ac:dyDescent="0.25">
      <c r="B19" t="s">
        <v>86</v>
      </c>
      <c r="C19" t="s">
        <v>216</v>
      </c>
      <c r="H19" s="58"/>
    </row>
    <row r="20" spans="1:8" x14ac:dyDescent="0.25">
      <c r="B20" t="s">
        <v>87</v>
      </c>
      <c r="H20" s="58"/>
    </row>
    <row r="21" spans="1:8" x14ac:dyDescent="0.25">
      <c r="B21" s="58" t="s">
        <v>212</v>
      </c>
      <c r="H21" s="58"/>
    </row>
    <row r="22" spans="1:8" x14ac:dyDescent="0.25">
      <c r="A22" s="4"/>
      <c r="B22" s="58" t="s">
        <v>244</v>
      </c>
      <c r="C22" s="4"/>
      <c r="D22" s="4"/>
      <c r="E22" s="4"/>
    </row>
    <row r="23" spans="1:8" x14ac:dyDescent="0.25">
      <c r="B23" s="58" t="s">
        <v>274</v>
      </c>
    </row>
    <row r="24" spans="1:8" x14ac:dyDescent="0.25">
      <c r="B24" s="58" t="s">
        <v>213</v>
      </c>
    </row>
    <row r="25" spans="1:8" x14ac:dyDescent="0.25">
      <c r="B25" s="58" t="s">
        <v>214</v>
      </c>
    </row>
    <row r="26" spans="1:8" s="4" customFormat="1" x14ac:dyDescent="0.25">
      <c r="B26" s="58" t="s">
        <v>275</v>
      </c>
    </row>
    <row r="27" spans="1:8" s="4" customFormat="1" x14ac:dyDescent="0.25">
      <c r="B27" s="58" t="s">
        <v>276</v>
      </c>
    </row>
    <row r="28" spans="1:8" s="4" customFormat="1" x14ac:dyDescent="0.25">
      <c r="B28" s="59"/>
    </row>
    <row r="29" spans="1:8" s="4" customFormat="1" x14ac:dyDescent="0.25">
      <c r="A29" s="4" t="s">
        <v>333</v>
      </c>
      <c r="B29" s="59"/>
    </row>
    <row r="30" spans="1:8" s="4" customFormat="1" x14ac:dyDescent="0.25">
      <c r="B30" s="59" t="s">
        <v>291</v>
      </c>
    </row>
    <row r="31" spans="1:8" s="4" customFormat="1" x14ac:dyDescent="0.25">
      <c r="B31" s="95" t="s">
        <v>292</v>
      </c>
    </row>
    <row r="32" spans="1:8" s="4" customFormat="1" x14ac:dyDescent="0.25">
      <c r="B32" s="59" t="s">
        <v>293</v>
      </c>
    </row>
    <row r="33" spans="1:2" s="4" customFormat="1" x14ac:dyDescent="0.25">
      <c r="B33" s="59"/>
    </row>
    <row r="34" spans="1:2" s="4" customFormat="1" x14ac:dyDescent="0.25">
      <c r="A34" s="4" t="s">
        <v>332</v>
      </c>
      <c r="B34" s="59"/>
    </row>
    <row r="35" spans="1:2" s="4" customFormat="1" x14ac:dyDescent="0.25">
      <c r="B35" s="59" t="s">
        <v>331</v>
      </c>
    </row>
    <row r="36" spans="1:2" s="4" customFormat="1" x14ac:dyDescent="0.25">
      <c r="B36" s="59"/>
    </row>
    <row r="37" spans="1:2" x14ac:dyDescent="0.25">
      <c r="A37" t="s">
        <v>290</v>
      </c>
      <c r="B37" s="59"/>
    </row>
    <row r="38" spans="1:2" x14ac:dyDescent="0.25">
      <c r="B38" t="s">
        <v>330</v>
      </c>
    </row>
    <row r="40" spans="1:2" x14ac:dyDescent="0.25">
      <c r="A40" t="s">
        <v>328</v>
      </c>
      <c r="B40" t="s">
        <v>329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55</vt:i4>
      </vt:variant>
    </vt:vector>
  </HeadingPairs>
  <TitlesOfParts>
    <vt:vector size="62" baseType="lpstr">
      <vt:lpstr>Guide</vt:lpstr>
      <vt:lpstr>PV_Summary</vt:lpstr>
      <vt:lpstr>ICA_Summary</vt:lpstr>
      <vt:lpstr>Data</vt:lpstr>
      <vt:lpstr>Definitions</vt:lpstr>
      <vt:lpstr>Ratings</vt:lpstr>
      <vt:lpstr>Publication_Steps</vt:lpstr>
      <vt:lpstr>Address_Col</vt:lpstr>
      <vt:lpstr>Area_ft2_Col</vt:lpstr>
      <vt:lpstr>CES3Pct_Col</vt:lpstr>
      <vt:lpstr>City_ZIP_Col</vt:lpstr>
      <vt:lpstr>Ckt1_Cap_Avail_Col</vt:lpstr>
      <vt:lpstr>Ckt1_ft_Col</vt:lpstr>
      <vt:lpstr>Ckt1_ID_Col</vt:lpstr>
      <vt:lpstr>Ckt2_Cap_Avail_Col</vt:lpstr>
      <vt:lpstr>Ckt2_ft_Col</vt:lpstr>
      <vt:lpstr>Ckt2_ID_Col</vt:lpstr>
      <vt:lpstr>Comments_Col</vt:lpstr>
      <vt:lpstr>Coordinates_Col</vt:lpstr>
      <vt:lpstr>Data_Row_Bgn</vt:lpstr>
      <vt:lpstr>DC_AC_Num</vt:lpstr>
      <vt:lpstr>DC_AC_Text</vt:lpstr>
      <vt:lpstr>Icon_URL_tbl</vt:lpstr>
      <vt:lpstr>Label_Clr_Col</vt:lpstr>
      <vt:lpstr>Label_Scl_Aggr_Child</vt:lpstr>
      <vt:lpstr>Label_Scl_Aggr_Parent</vt:lpstr>
      <vt:lpstr>Label_Scl_Col</vt:lpstr>
      <vt:lpstr>Label_Scl_Max</vt:lpstr>
      <vt:lpstr>Label_Scl_Min</vt:lpstr>
      <vt:lpstr>Label_Scl_Normal</vt:lpstr>
      <vt:lpstr>Label_Text_Col</vt:lpstr>
      <vt:lpstr>Lati_Col</vt:lpstr>
      <vt:lpstr>Longi_Col</vt:lpstr>
      <vt:lpstr>Map_Sym_Col</vt:lpstr>
      <vt:lpstr>MapRectLatiMax</vt:lpstr>
      <vt:lpstr>MapRectLatiMin</vt:lpstr>
      <vt:lpstr>MapRectLongiMax</vt:lpstr>
      <vt:lpstr>MapRectLongiMin</vt:lpstr>
      <vt:lpstr>Num_Data_Row</vt:lpstr>
      <vt:lpstr>PV_Summary!Print_Titles</vt:lpstr>
      <vt:lpstr>PV_Rating_Col</vt:lpstr>
      <vt:lpstr>PV_Type_Col</vt:lpstr>
      <vt:lpstr>PV_Type_List</vt:lpstr>
      <vt:lpstr>PV_W_Type_Rating_Tbl</vt:lpstr>
      <vt:lpstr>Rating_List</vt:lpstr>
      <vt:lpstr>Site_Desc_Col</vt:lpstr>
      <vt:lpstr>Site_Seq_Col</vt:lpstr>
      <vt:lpstr>Site_Sum_W_Col</vt:lpstr>
      <vt:lpstr>Site_W_AC_Col</vt:lpstr>
      <vt:lpstr>Struc_W_Col</vt:lpstr>
      <vt:lpstr>Sym_Clr_Col</vt:lpstr>
      <vt:lpstr>Sym_Scl_Aggr_Child</vt:lpstr>
      <vt:lpstr>Sym_Scl_Aggr_Parent</vt:lpstr>
      <vt:lpstr>Sym_Scl_Col</vt:lpstr>
      <vt:lpstr>Sym_Scl_Max</vt:lpstr>
      <vt:lpstr>Sym_Scl_Min</vt:lpstr>
      <vt:lpstr>Sym_Scl_Normal</vt:lpstr>
      <vt:lpstr>W_AC_Col</vt:lpstr>
      <vt:lpstr>ZIP_5_Col</vt:lpstr>
      <vt:lpstr>ZIPCodeSDList</vt:lpstr>
      <vt:lpstr>ZIPTtlsTbl</vt:lpstr>
      <vt:lpstr>Zone_ID_Col</vt:lpstr>
    </vt:vector>
  </TitlesOfParts>
  <Company>Clean Coaltion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SCE PRP PV Potential</dc:title>
  <dc:subject>PV siting potential</dc:subject>
  <dc:creator>Bob O' Hagan</dc:creator>
  <cp:keywords>SCE,PRP,PV</cp:keywords>
  <dc:description>Survey of PV siting potential in SCE PRP areas 24 and 59</dc:description>
  <cp:lastModifiedBy>Kunna, Piyanai</cp:lastModifiedBy>
  <cp:lastPrinted>2018-05-02T19:54:32Z</cp:lastPrinted>
  <dcterms:created xsi:type="dcterms:W3CDTF">2015-02-05T19:50:27Z</dcterms:created>
  <dcterms:modified xsi:type="dcterms:W3CDTF">2019-05-08T21:11:03Z</dcterms:modified>
</cp:coreProperties>
</file>